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E\"/>
    </mc:Choice>
  </mc:AlternateContent>
  <bookViews>
    <workbookView xWindow="1140" yWindow="756" windowWidth="20640" windowHeight="8772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Area" localSheetId="0">'Лист1 (2)'!$A$1:$Q$29</definedName>
  </definedNames>
  <calcPr calcId="162913"/>
</workbook>
</file>

<file path=xl/calcChain.xml><?xml version="1.0" encoding="utf-8"?>
<calcChain xmlns="http://schemas.openxmlformats.org/spreadsheetml/2006/main">
  <c r="U28" i="4" l="1"/>
  <c r="U29" i="4"/>
  <c r="U19" i="4"/>
  <c r="O29" i="4"/>
  <c r="P29" i="4" s="1"/>
  <c r="S28" i="4"/>
  <c r="S29" i="4"/>
  <c r="S27" i="4"/>
  <c r="E8" i="3"/>
  <c r="S16" i="4"/>
  <c r="O19" i="4" l="1"/>
  <c r="S19" i="4" s="1"/>
  <c r="M27" i="4" l="1"/>
  <c r="F26" i="4" l="1"/>
  <c r="G24" i="4"/>
  <c r="G23" i="4"/>
  <c r="G26" i="4" l="1"/>
  <c r="O17" i="4"/>
  <c r="M17" i="4"/>
  <c r="G17" i="4"/>
  <c r="P17" i="4" l="1"/>
  <c r="S17" i="4"/>
  <c r="U17" i="4" s="1"/>
  <c r="O14" i="4"/>
  <c r="O15" i="4"/>
  <c r="F16" i="4" l="1"/>
  <c r="G16" i="4" l="1"/>
  <c r="G15" i="4"/>
  <c r="G14" i="4"/>
  <c r="P14" i="4" s="1"/>
  <c r="S15" i="4" s="1"/>
  <c r="U15" i="4" s="1"/>
  <c r="M14" i="4" l="1"/>
  <c r="M19" i="4"/>
  <c r="O13" i="4" l="1"/>
  <c r="P13" i="4" s="1"/>
  <c r="S13" i="4" s="1"/>
  <c r="U13" i="4" s="1"/>
  <c r="M13" i="4"/>
  <c r="F12" i="4"/>
  <c r="G11" i="4" s="1"/>
  <c r="O11" i="4"/>
  <c r="O10" i="4"/>
  <c r="O9" i="4"/>
  <c r="G9" i="4" l="1"/>
  <c r="G10" i="4"/>
  <c r="G12" i="4"/>
  <c r="O11" i="1"/>
  <c r="P11" i="1" s="1"/>
  <c r="M9" i="4" l="1"/>
  <c r="P9" i="4"/>
  <c r="O9" i="1"/>
  <c r="O8" i="1"/>
  <c r="O7" i="1"/>
  <c r="S11" i="4" l="1"/>
  <c r="S9" i="4"/>
  <c r="U9" i="4" s="1"/>
  <c r="M11" i="1"/>
  <c r="F10" i="1" l="1"/>
  <c r="G10" i="1" s="1"/>
  <c r="G8" i="1" l="1"/>
  <c r="G9" i="1"/>
  <c r="G7" i="1"/>
  <c r="M7" i="1" l="1"/>
  <c r="P7" i="1"/>
</calcChain>
</file>

<file path=xl/sharedStrings.xml><?xml version="1.0" encoding="utf-8"?>
<sst xmlns="http://schemas.openxmlformats.org/spreadsheetml/2006/main" count="119" uniqueCount="65">
  <si>
    <t>Содержание автомобильной дороги Р-255 "Сибирь" Новосибирск - Кемерово - Красноярск - Иркутск км 1166+800 - км 1450+385</t>
  </si>
  <si>
    <t>II</t>
  </si>
  <si>
    <t>III</t>
  </si>
  <si>
    <t>IV</t>
  </si>
  <si>
    <t>Всего</t>
  </si>
  <si>
    <t>Категория дороги</t>
  </si>
  <si>
    <t>Число полос</t>
  </si>
  <si>
    <t>Протяженность, км</t>
  </si>
  <si>
    <t>Наименование участка автомобильной дороги</t>
  </si>
  <si>
    <t>Субъект РФ</t>
  </si>
  <si>
    <t>Иркутская область</t>
  </si>
  <si>
    <t>Уровень содержания</t>
  </si>
  <si>
    <t>Высокий</t>
  </si>
  <si>
    <t>Среднегодовая суточная интенсивность, авт./сутки</t>
  </si>
  <si>
    <t>-</t>
  </si>
  <si>
    <t>Соблюдение периодичности выполнения работ по Приказу № 157
(№ п/п Приказа, краткое наименование, процент выполнения)</t>
  </si>
  <si>
    <t xml:space="preserve">Базисно-индексный метод на 1 км по отраслевым сметным нормативам </t>
  </si>
  <si>
    <t>Кировская область</t>
  </si>
  <si>
    <t>1. Уборка мусора - 101 %
27. Заливка трещин в асфальтобетонном покрытии - 17 %
39. Замена дорожных знаков - 110 %
40. Замена сигнальных столбиков - 198 %
70. Распределение противогололедных материалов -103 %
79. Механизированная очистка покрытия и обочин от снега - 113 %</t>
  </si>
  <si>
    <t>Содержание автомобильной дороги Р-243 Кострома – Шарья – Киров – Пермь на участке Котельнич – Свеча – Ленинское – граница Костромской области км 0+000 - км 113+845, Гнусино – Шихово км 0+000 - км 13+566, Киров – Слободской – Белая Холуница – Омутнинск – Афанасьево – граница Пермского края км 11+500 - км 287+770, (км 378+564 - км 492+160, км 606+160 - км 895+630)</t>
  </si>
  <si>
    <t>Соответствует нормативным требованиям по 2-м параметрам и эксп. оценке, %</t>
  </si>
  <si>
    <t>1. Уборка мусора - 117 %
27. Заливка трещин в асфальтобетонном покрытии - 4,5 %
39. Замена дорожных знаков - 27,6 %
40. Замена сигнальных столбиков - 27,8 %
70. Распределение противогололедных материалов -96,1 %
79. Механизированная очистка покрытия и обочин от снега - 96,1 %</t>
  </si>
  <si>
    <t>Процент доведенных в 2019 году средств от норматива</t>
  </si>
  <si>
    <t>Средняя стоимость содержания 1 км участка с учетом всех выполняемых работ на участке автодороги  по Классификации</t>
  </si>
  <si>
    <t>Сравнение стоимости содержания участков автомобильных дорог федерального, регионального и межмуниципального значения</t>
  </si>
  <si>
    <t>Средняя стоимость содержания 1 км по контракту (без учета содержания ИДС, устройства защитных слоев износа и поверхностной обработки)</t>
  </si>
  <si>
    <t>Средняя стоимость содержания 1 км по отраслевым сметным нормативам указанного участка автодороги</t>
  </si>
  <si>
    <t>Доля протяженности по категориям, %</t>
  </si>
  <si>
    <t>(тыс. рублей)</t>
  </si>
  <si>
    <t>Средняя стоимость содержания 1 км в соответствии Постановлением правительства № 658
(НПА субъекта РФ)</t>
  </si>
  <si>
    <t>Стоимость содержания участка в соответствии Постановлением правительства № 658 
(НПА субъекта РФ)</t>
  </si>
  <si>
    <t>Мурманская область</t>
  </si>
  <si>
    <t>Допустимый</t>
  </si>
  <si>
    <t>Содержание автомобильной дороги Пиренга - Ковдор, км 0+000 - км 100+373)</t>
  </si>
  <si>
    <t>1. Уборка мусора - 23 %
5. Устранение деформаций покрытия - 18 %
27. Заливка трещин в а/б покрытии - 10 %
32. Восстановление ровности п/ч гравийных дорог - 62%
39. Замена дорожных знаков - 25,0 %
40. Замена сигнальных столбиков - 16,9 %
42. Нанесение разметки - 100%
50. Замена поврежденных барьерных ограждений - 19 %
70. Распределение противогололедных материалов - 48,4 %
79. Механизированная очистка покрытия и обочин от снега - 71,2 %
81. Очистка от снега и льда а/остановок. площадок отдыха - 54.0 %</t>
  </si>
  <si>
    <t>Республика Карелия</t>
  </si>
  <si>
    <t xml:space="preserve">Содержание автомобильной дороги Р-21 «Кола» Санкт-Петербург – Петрозаводск – Мурманск – Печенга – граница с Королевством Норвегия на участке км 451+365 — км 1070+806 </t>
  </si>
  <si>
    <t>1. Уборка мусора - 100 %
27. Заливка трещин в асфальтобетонном покрытии - 5 %
39. Замена дорожных знаков - 150,7 %
40. Замена сигнальных столбиков - 103,3 %
70. Распределение противогололедных материалов -283,3 %
79. Механизированная очистка покрытия и обочин от снега - 281,3 %</t>
  </si>
  <si>
    <t>Автомобильные дороги общего пользования федерального значения</t>
  </si>
  <si>
    <t>Автомобильные дороги общего пользования регионального или межмуниципального значения</t>
  </si>
  <si>
    <t>Забайкальский край</t>
  </si>
  <si>
    <t>Содержание автомобильной дороги Р-297 "Амур" Чита - Невер - Свободный - Архара - Биробиджан - Хабаровск  на участке км 380+000 - км 680+000</t>
  </si>
  <si>
    <t>Высокий
(100%)</t>
  </si>
  <si>
    <t>Высокий
(83%)</t>
  </si>
  <si>
    <t>1. Уборка мусора - 57,6 %
27. Заливка трещин в асфальтобетонном покрытии - 101,8 %
39. Замена дорожных знаков - 112,9 %
40. Замена сигнальных столбиков - 157,3 %
70. Распределение противогололедных материалов - 130,0 %
79. Механизированная очистка покрытия и обочин от снега - 105,2 %</t>
  </si>
  <si>
    <t>Республика Марий Эл</t>
  </si>
  <si>
    <t xml:space="preserve">Автомобильные дороги общего пользования республиканского значения Республики Марий Эл </t>
  </si>
  <si>
    <t>I B</t>
  </si>
  <si>
    <t>допустимый</t>
  </si>
  <si>
    <t>1. Уборка мусора - 9,6%
27. Заливка трещин в асфальтобетонном покрытии - 0 
39. Замена дорожных знаков -7 %
40. Замена сигнальных столбиков - 25,7 %                                              70. Распределение противогололедных материалов - 38,1%
79. Механизированная очистка покрытия и обочин от снега -48,5%</t>
  </si>
  <si>
    <t>V</t>
  </si>
  <si>
    <t>Содержание автомобильной дороги Иркутск-Оса-Усть-Уда от границы городской черты г. Иркутск км 0 до до границы Иркутского (Боханского) района (км 57+018)</t>
  </si>
  <si>
    <t>1. Уборка мусора - 28 %
27. Заливка трещин в асфальтобетонном покрытии - 9,8 %
39. Замена дорожных знаков - 20 %
40. Замена сигнальных столбиков - 15 %
70. Распределение противогололедных материалов -90 %
79. Механизированная очистка покрытия и обочин от снега - 98 %</t>
  </si>
  <si>
    <t xml:space="preserve">Чувашская республики </t>
  </si>
  <si>
    <t>Содержание автомобильной дороги Чебоксары-Сурское км 61+456-км 82+390 в Вурнарском районе Чувашской Республики</t>
  </si>
  <si>
    <t xml:space="preserve">допустимый </t>
  </si>
  <si>
    <t>Уборка мусора - 74,5 %                                                                                                           
Планировка неукрепленных обочин -26,3%
Замена дорожных знаков - 94,1 %
Ямочный ремонт асфальтобетонных покрытий - 68,3%
Распределение противогололедных материалов -56,6 %
Механизированная очистка покрытия и обочин от снега - 56,6 %</t>
  </si>
  <si>
    <t>Содержание автомобильной дороги Дарасун - Госграница с МНР на участке км 241+000 – км 297+500</t>
  </si>
  <si>
    <t>*</t>
  </si>
  <si>
    <t>167,860 тыс.руб.</t>
  </si>
  <si>
    <t>Содержание по единичным расценкам ЕСНиЕРс, а не по отраслевым сметным нормативам</t>
  </si>
  <si>
    <r>
      <t>Выполнение работ выполняется по мере необходимости
№ п ...Уборка мусора -19 %
№ п ...Заливк</t>
    </r>
    <r>
      <rPr>
        <sz val="10"/>
        <rFont val="Times New Roman"/>
        <family val="1"/>
        <charset val="204"/>
      </rPr>
      <t>а трещин в асфальтобетонном покрытии - 1,4 %
№ п ...Замена дорожных знаков -  196 %
№ п ... Механизированная очистка покрытия и обочин от снега - 3 %</t>
    </r>
  </si>
  <si>
    <t>Стоимость содержания 1 км участка по категориям в соответствии Постановлением правительства № 658 
(НПА субъекта РФ)</t>
  </si>
  <si>
    <t>Приложение № 4</t>
  </si>
  <si>
    <t>Сравнительный анализ стоимости содержания отдельных участков автомобильных дорог федерального, регионального и межмуниципального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</si>
</sst>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р.&quot;;\-#,##0&quot;р.&quot;"/>
    <numFmt numFmtId="165" formatCode="#,##0.00&quot;р.&quot;;\-#,##0.00&quot;р.&quot;"/>
    <numFmt numFmtId="166" formatCode="_-* #,##0.00_р_._-;\-* #,##0.00_р_._-;_-* &quot;-&quot;??_р_._-;_-@_-"/>
    <numFmt numFmtId="167" formatCode="0.000"/>
    <numFmt numFmtId="168" formatCode="0.0"/>
    <numFmt numFmtId="169" formatCode="#,##0.0"/>
    <numFmt numFmtId="170" formatCode="mmmm\ d\,\ yyyy"/>
    <numFmt numFmtId="171" formatCode="0.0%"/>
    <numFmt numFmtId="172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9" fontId="3" fillId="0" borderId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70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0" fontId="3" fillId="0" borderId="0" applyFill="0" applyBorder="0" applyAlignment="0" applyProtection="0"/>
    <xf numFmtId="0" fontId="3" fillId="0" borderId="3" applyNumberFormat="0" applyFill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7" fillId="0" borderId="0"/>
  </cellStyleXfs>
  <cellXfs count="99">
    <xf numFmtId="0" fontId="0" fillId="0" borderId="0" xfId="0"/>
    <xf numFmtId="0" fontId="9" fillId="0" borderId="0" xfId="0" applyFont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9" fontId="6" fillId="0" borderId="1" xfId="1" applyFont="1" applyFill="1" applyBorder="1" applyAlignment="1">
      <alignment horizontal="center" vertical="center" wrapText="1"/>
    </xf>
    <xf numFmtId="171" fontId="6" fillId="0" borderId="1" xfId="1" applyNumberFormat="1" applyFont="1" applyFill="1" applyBorder="1" applyAlignment="1">
      <alignment horizontal="center" vertical="center" wrapText="1"/>
    </xf>
    <xf numFmtId="172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Continuous" vertical="center" wrapText="1"/>
    </xf>
    <xf numFmtId="167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Continuous" vertical="center" wrapText="1"/>
    </xf>
    <xf numFmtId="0" fontId="9" fillId="0" borderId="4" xfId="0" applyFont="1" applyFill="1" applyBorder="1" applyAlignment="1">
      <alignment horizontal="centerContinuous" vertical="center" wrapText="1"/>
    </xf>
    <xf numFmtId="0" fontId="9" fillId="0" borderId="1" xfId="0" applyFont="1" applyFill="1" applyBorder="1" applyAlignment="1">
      <alignment horizontal="centerContinuous" vertical="center" wrapText="1"/>
    </xf>
    <xf numFmtId="0" fontId="9" fillId="0" borderId="7" xfId="0" applyFont="1" applyFill="1" applyBorder="1" applyAlignment="1">
      <alignment horizontal="centerContinuous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Alignment="1">
      <alignment vertical="center" wrapText="1"/>
    </xf>
    <xf numFmtId="2" fontId="9" fillId="0" borderId="0" xfId="0" applyNumberFormat="1" applyFont="1" applyFill="1" applyAlignment="1">
      <alignment vertical="center" wrapText="1"/>
    </xf>
    <xf numFmtId="172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8" fontId="9" fillId="0" borderId="6" xfId="0" applyNumberFormat="1" applyFont="1" applyFill="1" applyBorder="1" applyAlignment="1">
      <alignment horizontal="center" vertical="center" wrapText="1"/>
    </xf>
    <xf numFmtId="169" fontId="9" fillId="0" borderId="6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2" fillId="0" borderId="0" xfId="0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8" fontId="9" fillId="0" borderId="4" xfId="0" applyNumberFormat="1" applyFont="1" applyFill="1" applyBorder="1" applyAlignment="1">
      <alignment horizontal="center" vertical="center" wrapText="1"/>
    </xf>
    <xf numFmtId="168" fontId="9" fillId="0" borderId="5" xfId="0" applyNumberFormat="1" applyFont="1" applyFill="1" applyBorder="1" applyAlignment="1">
      <alignment horizontal="center" vertical="center" wrapText="1"/>
    </xf>
    <xf numFmtId="168" fontId="9" fillId="0" borderId="6" xfId="0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2" fontId="6" fillId="0" borderId="4" xfId="2" applyNumberFormat="1" applyFont="1" applyFill="1" applyBorder="1" applyAlignment="1">
      <alignment horizontal="center" vertical="center" wrapText="1"/>
    </xf>
    <xf numFmtId="2" fontId="6" fillId="0" borderId="5" xfId="2" applyNumberFormat="1" applyFont="1" applyFill="1" applyBorder="1" applyAlignment="1">
      <alignment horizontal="center" vertical="center" wrapText="1"/>
    </xf>
    <xf numFmtId="2" fontId="6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9" fontId="9" fillId="0" borderId="4" xfId="0" applyNumberFormat="1" applyFont="1" applyFill="1" applyBorder="1" applyAlignment="1">
      <alignment horizontal="center" vertical="center" wrapText="1"/>
    </xf>
    <xf numFmtId="169" fontId="9" fillId="0" borderId="5" xfId="0" applyNumberFormat="1" applyFont="1" applyFill="1" applyBorder="1" applyAlignment="1">
      <alignment horizontal="center" vertical="center" wrapText="1"/>
    </xf>
    <xf numFmtId="169" fontId="9" fillId="0" borderId="6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19">
    <cellStyle name="Comma" xfId="3"/>
    <cellStyle name="Comma0" xfId="4"/>
    <cellStyle name="Currency" xfId="5"/>
    <cellStyle name="Currency0" xfId="6"/>
    <cellStyle name="Date" xfId="7"/>
    <cellStyle name="Fixed" xfId="8"/>
    <cellStyle name="Heading 1" xfId="9"/>
    <cellStyle name="Heading 2" xfId="10"/>
    <cellStyle name="normal" xfId="11"/>
    <cellStyle name="Percent" xfId="12"/>
    <cellStyle name="Total" xfId="13"/>
    <cellStyle name="Обычный" xfId="0" builtinId="0"/>
    <cellStyle name="Обычный 2" xfId="2"/>
    <cellStyle name="Обычный 3" xfId="18"/>
    <cellStyle name="Обычный 3 8 2 2" xfId="17"/>
    <cellStyle name="Процентный" xfId="1" builtinId="5"/>
    <cellStyle name="Процентный 2" xfId="14"/>
    <cellStyle name="Процентный 3" xfId="16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49"/>
  <sheetViews>
    <sheetView tabSelected="1" view="pageBreakPreview" topLeftCell="A4" zoomScale="60" zoomScaleNormal="70" workbookViewId="0">
      <pane xSplit="3" ySplit="4" topLeftCell="D8" activePane="bottomRight" state="frozen"/>
      <selection activeCell="A4" sqref="A4"/>
      <selection pane="topRight" activeCell="D4" sqref="D4"/>
      <selection pane="bottomLeft" activeCell="A7" sqref="A7"/>
      <selection pane="bottomRight" activeCell="B8" sqref="B8"/>
    </sheetView>
  </sheetViews>
  <sheetFormatPr defaultColWidth="9.109375" defaultRowHeight="13.2" x14ac:dyDescent="0.3"/>
  <cols>
    <col min="1" max="1" width="14.44140625" style="32" customWidth="1"/>
    <col min="2" max="2" width="12.33203125" style="32" customWidth="1"/>
    <col min="3" max="3" width="48.109375" style="32" customWidth="1"/>
    <col min="4" max="4" width="10.5546875" style="32" customWidth="1"/>
    <col min="5" max="5" width="7.109375" style="32" customWidth="1"/>
    <col min="6" max="6" width="14" style="32" bestFit="1" customWidth="1"/>
    <col min="7" max="7" width="13.109375" style="32" customWidth="1"/>
    <col min="8" max="8" width="13.33203125" style="32" customWidth="1"/>
    <col min="9" max="9" width="13.33203125" style="32" bestFit="1" customWidth="1"/>
    <col min="10" max="10" width="13" style="32" customWidth="1"/>
    <col min="11" max="11" width="18" style="32" customWidth="1"/>
    <col min="12" max="12" width="13.88671875" style="32" customWidth="1"/>
    <col min="13" max="13" width="14.5546875" style="32" customWidth="1"/>
    <col min="14" max="14" width="14.5546875" style="32" bestFit="1" customWidth="1"/>
    <col min="15" max="16" width="18" style="32" customWidth="1"/>
    <col min="17" max="17" width="36.33203125" style="32" customWidth="1"/>
    <col min="18" max="18" width="9.109375" style="32"/>
    <col min="19" max="19" width="12" style="32" bestFit="1" customWidth="1"/>
    <col min="20" max="20" width="9.109375" style="32"/>
    <col min="21" max="21" width="18.109375" style="32" customWidth="1"/>
    <col min="22" max="16384" width="9.109375" style="32"/>
  </cols>
  <sheetData>
    <row r="4" spans="1:21" ht="18" x14ac:dyDescent="0.3">
      <c r="Q4" s="33" t="s">
        <v>63</v>
      </c>
    </row>
    <row r="5" spans="1:21" ht="37.5" customHeight="1" x14ac:dyDescent="0.3">
      <c r="A5" s="56" t="s">
        <v>64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1" x14ac:dyDescent="0.3">
      <c r="Q6" s="34" t="s">
        <v>28</v>
      </c>
    </row>
    <row r="7" spans="1:21" ht="141.75" customHeight="1" x14ac:dyDescent="0.3">
      <c r="A7" s="22" t="s">
        <v>9</v>
      </c>
      <c r="B7" s="22" t="s">
        <v>22</v>
      </c>
      <c r="C7" s="22" t="s">
        <v>8</v>
      </c>
      <c r="D7" s="2" t="s">
        <v>5</v>
      </c>
      <c r="E7" s="2" t="s">
        <v>6</v>
      </c>
      <c r="F7" s="2" t="s">
        <v>7</v>
      </c>
      <c r="G7" s="2" t="s">
        <v>27</v>
      </c>
      <c r="H7" s="22" t="s">
        <v>11</v>
      </c>
      <c r="I7" s="22" t="s">
        <v>13</v>
      </c>
      <c r="J7" s="22" t="s">
        <v>20</v>
      </c>
      <c r="K7" s="22" t="s">
        <v>25</v>
      </c>
      <c r="L7" s="22" t="s">
        <v>16</v>
      </c>
      <c r="M7" s="35" t="s">
        <v>26</v>
      </c>
      <c r="N7" s="35" t="s">
        <v>23</v>
      </c>
      <c r="O7" s="22" t="s">
        <v>62</v>
      </c>
      <c r="P7" s="35" t="s">
        <v>29</v>
      </c>
      <c r="Q7" s="22" t="s">
        <v>15</v>
      </c>
    </row>
    <row r="8" spans="1:21" ht="27" customHeight="1" x14ac:dyDescent="0.3">
      <c r="A8" s="36" t="s">
        <v>38</v>
      </c>
      <c r="B8" s="37"/>
      <c r="C8" s="38"/>
      <c r="D8" s="19"/>
      <c r="E8" s="19"/>
      <c r="F8" s="19"/>
      <c r="G8" s="19"/>
      <c r="H8" s="37"/>
      <c r="I8" s="38"/>
      <c r="J8" s="37"/>
      <c r="K8" s="38"/>
      <c r="L8" s="38"/>
      <c r="M8" s="39"/>
      <c r="N8" s="39"/>
      <c r="O8" s="38"/>
      <c r="P8" s="39"/>
      <c r="Q8" s="37"/>
    </row>
    <row r="9" spans="1:21" ht="30.75" customHeight="1" x14ac:dyDescent="0.3">
      <c r="A9" s="61" t="s">
        <v>10</v>
      </c>
      <c r="B9" s="61">
        <v>74.7</v>
      </c>
      <c r="C9" s="83" t="s">
        <v>0</v>
      </c>
      <c r="D9" s="2" t="s">
        <v>1</v>
      </c>
      <c r="E9" s="2">
        <v>2</v>
      </c>
      <c r="F9" s="18">
        <v>145.31899999999999</v>
      </c>
      <c r="G9" s="17">
        <f>ROUND(F9/$F$12,3)</f>
        <v>0.53300000000000003</v>
      </c>
      <c r="H9" s="61" t="s">
        <v>42</v>
      </c>
      <c r="I9" s="87">
        <v>2600</v>
      </c>
      <c r="J9" s="84">
        <v>77.13</v>
      </c>
      <c r="K9" s="83">
        <v>904.5</v>
      </c>
      <c r="L9" s="40">
        <v>2082.4</v>
      </c>
      <c r="M9" s="74">
        <f>L9*$G9+L10*$G10+L11*$G11</f>
        <v>2057.1112000000003</v>
      </c>
      <c r="N9" s="74">
        <v>1677.73839796998</v>
      </c>
      <c r="O9" s="40">
        <f>385488.909728515/F9</f>
        <v>2652.7082468811032</v>
      </c>
      <c r="P9" s="74">
        <f>O9*$G9+O10*$G10+O11*$G11</f>
        <v>2163.2756140222768</v>
      </c>
      <c r="Q9" s="58" t="s">
        <v>18</v>
      </c>
      <c r="S9" s="41">
        <f>N9/P9</f>
        <v>0.77555462054623947</v>
      </c>
      <c r="U9" s="41">
        <f>1-S9</f>
        <v>0.22444537945376053</v>
      </c>
    </row>
    <row r="10" spans="1:21" ht="30.75" customHeight="1" x14ac:dyDescent="0.3">
      <c r="A10" s="62"/>
      <c r="B10" s="62"/>
      <c r="C10" s="83"/>
      <c r="D10" s="2" t="s">
        <v>2</v>
      </c>
      <c r="E10" s="2">
        <v>2</v>
      </c>
      <c r="F10" s="18">
        <v>127.072</v>
      </c>
      <c r="G10" s="17">
        <f t="shared" ref="G10:G12" si="0">ROUND(F10/$F$12,3)</f>
        <v>0.46600000000000003</v>
      </c>
      <c r="H10" s="62"/>
      <c r="I10" s="87"/>
      <c r="J10" s="85"/>
      <c r="K10" s="83"/>
      <c r="L10" s="40">
        <v>2024.4</v>
      </c>
      <c r="M10" s="75"/>
      <c r="N10" s="75"/>
      <c r="O10" s="40">
        <f>203680.777488992/F10</f>
        <v>1602.8769318889447</v>
      </c>
      <c r="P10" s="75"/>
      <c r="Q10" s="59"/>
      <c r="S10" s="42"/>
    </row>
    <row r="11" spans="1:21" ht="30.75" customHeight="1" x14ac:dyDescent="0.3">
      <c r="A11" s="62"/>
      <c r="B11" s="62"/>
      <c r="C11" s="83"/>
      <c r="D11" s="2" t="s">
        <v>3</v>
      </c>
      <c r="E11" s="2">
        <v>2</v>
      </c>
      <c r="F11" s="18">
        <v>0.46300000000000002</v>
      </c>
      <c r="G11" s="17">
        <f t="shared" si="0"/>
        <v>2E-3</v>
      </c>
      <c r="H11" s="62"/>
      <c r="I11" s="87"/>
      <c r="J11" s="85"/>
      <c r="K11" s="83"/>
      <c r="L11" s="40">
        <v>1910.8</v>
      </c>
      <c r="M11" s="75"/>
      <c r="N11" s="75"/>
      <c r="O11" s="40">
        <f>565.199882373686/F11</f>
        <v>1220.7340872001857</v>
      </c>
      <c r="P11" s="75"/>
      <c r="Q11" s="59"/>
      <c r="S11" s="42">
        <f>P9-N9</f>
        <v>485.5372160522968</v>
      </c>
    </row>
    <row r="12" spans="1:21" ht="30.75" customHeight="1" x14ac:dyDescent="0.3">
      <c r="A12" s="63"/>
      <c r="B12" s="63"/>
      <c r="C12" s="83"/>
      <c r="D12" s="22" t="s">
        <v>4</v>
      </c>
      <c r="E12" s="22"/>
      <c r="F12" s="43">
        <f>SUM(F9:F11)</f>
        <v>272.85399999999998</v>
      </c>
      <c r="G12" s="17">
        <f t="shared" si="0"/>
        <v>1</v>
      </c>
      <c r="H12" s="63"/>
      <c r="I12" s="87"/>
      <c r="J12" s="86"/>
      <c r="K12" s="83"/>
      <c r="L12" s="40" t="s">
        <v>14</v>
      </c>
      <c r="M12" s="76"/>
      <c r="N12" s="76"/>
      <c r="O12" s="40" t="s">
        <v>14</v>
      </c>
      <c r="P12" s="76"/>
      <c r="Q12" s="60"/>
      <c r="S12" s="42"/>
    </row>
    <row r="13" spans="1:21" ht="129.75" customHeight="1" x14ac:dyDescent="0.3">
      <c r="A13" s="22" t="s">
        <v>17</v>
      </c>
      <c r="B13" s="22">
        <v>91.1</v>
      </c>
      <c r="C13" s="22" t="s">
        <v>19</v>
      </c>
      <c r="D13" s="2" t="s">
        <v>2</v>
      </c>
      <c r="E13" s="2">
        <v>2</v>
      </c>
      <c r="F13" s="43">
        <v>403.68099999999998</v>
      </c>
      <c r="G13" s="17">
        <v>1</v>
      </c>
      <c r="H13" s="22" t="s">
        <v>42</v>
      </c>
      <c r="I13" s="23">
        <v>2700</v>
      </c>
      <c r="J13" s="27">
        <v>75.59</v>
      </c>
      <c r="K13" s="44">
        <v>515.95271400061131</v>
      </c>
      <c r="L13" s="45">
        <v>1738.5</v>
      </c>
      <c r="M13" s="40">
        <f>L13</f>
        <v>1738.5</v>
      </c>
      <c r="N13" s="40">
        <v>936.68961135153756</v>
      </c>
      <c r="O13" s="40">
        <f>553083.510374904/F13</f>
        <v>1370.1004267600013</v>
      </c>
      <c r="P13" s="40">
        <f>O13</f>
        <v>1370.1004267600013</v>
      </c>
      <c r="Q13" s="24" t="s">
        <v>21</v>
      </c>
      <c r="S13" s="41">
        <f>N13/P13</f>
        <v>0.68366492926844136</v>
      </c>
      <c r="U13" s="41">
        <f>1-S13</f>
        <v>0.31633507073155864</v>
      </c>
    </row>
    <row r="14" spans="1:21" ht="44.25" customHeight="1" x14ac:dyDescent="0.3">
      <c r="A14" s="61" t="s">
        <v>35</v>
      </c>
      <c r="B14" s="61">
        <v>88.8</v>
      </c>
      <c r="C14" s="61" t="s">
        <v>36</v>
      </c>
      <c r="D14" s="2" t="s">
        <v>1</v>
      </c>
      <c r="E14" s="2">
        <v>2</v>
      </c>
      <c r="F14" s="18">
        <v>79.197999999999993</v>
      </c>
      <c r="G14" s="17">
        <f>ROUND(F14/$F$16,3)</f>
        <v>0.13700000000000001</v>
      </c>
      <c r="H14" s="61" t="s">
        <v>42</v>
      </c>
      <c r="I14" s="77">
        <v>2770</v>
      </c>
      <c r="J14" s="80">
        <v>95.2</v>
      </c>
      <c r="K14" s="64">
        <v>864.6</v>
      </c>
      <c r="L14" s="45">
        <v>2057.1</v>
      </c>
      <c r="M14" s="74">
        <f>L14*$G14+L15*$G15</f>
        <v>1952.3317999999999</v>
      </c>
      <c r="N14" s="74">
        <v>1209.9051049663799</v>
      </c>
      <c r="O14" s="40">
        <f>240031.5444605/F14</f>
        <v>3030.7778537399936</v>
      </c>
      <c r="P14" s="74">
        <f>O14*$G14+O15*$G15</f>
        <v>1995.647756256179</v>
      </c>
      <c r="Q14" s="58" t="s">
        <v>37</v>
      </c>
      <c r="S14" s="42"/>
    </row>
    <row r="15" spans="1:21" ht="44.25" customHeight="1" x14ac:dyDescent="0.3">
      <c r="A15" s="62"/>
      <c r="B15" s="62"/>
      <c r="C15" s="62"/>
      <c r="D15" s="2" t="s">
        <v>2</v>
      </c>
      <c r="E15" s="2">
        <v>2</v>
      </c>
      <c r="F15" s="18">
        <v>496.79199999999997</v>
      </c>
      <c r="G15" s="17">
        <f>ROUND(F15/$F$16,3)</f>
        <v>0.86299999999999999</v>
      </c>
      <c r="H15" s="62"/>
      <c r="I15" s="78"/>
      <c r="J15" s="81"/>
      <c r="K15" s="65"/>
      <c r="L15" s="45">
        <v>1935.7</v>
      </c>
      <c r="M15" s="75"/>
      <c r="N15" s="75"/>
      <c r="O15" s="40">
        <f>909786.294192859/F15</f>
        <v>1831.3223525999997</v>
      </c>
      <c r="P15" s="75"/>
      <c r="Q15" s="59"/>
      <c r="S15" s="41">
        <f>N14/P14</f>
        <v>0.60627187396845683</v>
      </c>
      <c r="U15" s="41">
        <f>1-S15</f>
        <v>0.39372812603154317</v>
      </c>
    </row>
    <row r="16" spans="1:21" ht="44.25" customHeight="1" x14ac:dyDescent="0.3">
      <c r="A16" s="63"/>
      <c r="B16" s="63"/>
      <c r="C16" s="63"/>
      <c r="D16" s="22" t="s">
        <v>4</v>
      </c>
      <c r="E16" s="22"/>
      <c r="F16" s="43">
        <f>SUM(F14:F15)</f>
        <v>575.99</v>
      </c>
      <c r="G16" s="17">
        <f>ROUND(F16/$F$16,3)</f>
        <v>1</v>
      </c>
      <c r="H16" s="63"/>
      <c r="I16" s="79"/>
      <c r="J16" s="82"/>
      <c r="K16" s="66"/>
      <c r="L16" s="45" t="s">
        <v>14</v>
      </c>
      <c r="M16" s="76"/>
      <c r="N16" s="76"/>
      <c r="O16" s="40" t="s">
        <v>14</v>
      </c>
      <c r="P16" s="76"/>
      <c r="Q16" s="60"/>
      <c r="S16" s="42">
        <f>N14/N9*100-100</f>
        <v>-27.884758051056494</v>
      </c>
    </row>
    <row r="17" spans="1:21" ht="172.5" customHeight="1" x14ac:dyDescent="0.3">
      <c r="A17" s="46" t="s">
        <v>40</v>
      </c>
      <c r="B17" s="46">
        <v>51.4</v>
      </c>
      <c r="C17" s="46" t="s">
        <v>41</v>
      </c>
      <c r="D17" s="2" t="s">
        <v>2</v>
      </c>
      <c r="E17" s="2">
        <v>2</v>
      </c>
      <c r="F17" s="43">
        <v>300</v>
      </c>
      <c r="G17" s="17">
        <f>ROUND(F17/$F$17,3)</f>
        <v>1</v>
      </c>
      <c r="H17" s="46" t="s">
        <v>43</v>
      </c>
      <c r="I17" s="47">
        <v>960</v>
      </c>
      <c r="J17" s="48">
        <v>98.9</v>
      </c>
      <c r="K17" s="49">
        <v>624.70000000000005</v>
      </c>
      <c r="L17" s="45">
        <v>977.3</v>
      </c>
      <c r="M17" s="50">
        <f>L17</f>
        <v>977.3</v>
      </c>
      <c r="N17" s="50">
        <v>973.6</v>
      </c>
      <c r="O17" s="40">
        <f>647067.2/F17</f>
        <v>2156.8906666666667</v>
      </c>
      <c r="P17" s="50">
        <f>O17</f>
        <v>2156.8906666666667</v>
      </c>
      <c r="Q17" s="24" t="s">
        <v>44</v>
      </c>
      <c r="S17" s="41">
        <f>N17/O17</f>
        <v>0.45139052018090242</v>
      </c>
      <c r="U17" s="41">
        <f>1-S17</f>
        <v>0.54860947981909758</v>
      </c>
    </row>
    <row r="18" spans="1:21" ht="27" customHeight="1" x14ac:dyDescent="0.3">
      <c r="A18" s="36" t="s">
        <v>39</v>
      </c>
      <c r="B18" s="37"/>
      <c r="C18" s="38"/>
      <c r="D18" s="19"/>
      <c r="E18" s="19"/>
      <c r="F18" s="19"/>
      <c r="G18" s="19"/>
      <c r="H18" s="37"/>
      <c r="I18" s="38"/>
      <c r="J18" s="37"/>
      <c r="K18" s="38"/>
      <c r="L18" s="38"/>
      <c r="M18" s="39"/>
      <c r="N18" s="39"/>
      <c r="O18" s="38"/>
      <c r="P18" s="39"/>
      <c r="Q18" s="37"/>
    </row>
    <row r="19" spans="1:21" ht="214.5" customHeight="1" x14ac:dyDescent="0.25">
      <c r="A19" s="22" t="s">
        <v>31</v>
      </c>
      <c r="B19" s="22">
        <v>36.299999999999997</v>
      </c>
      <c r="C19" s="25" t="s">
        <v>33</v>
      </c>
      <c r="D19" s="2" t="s">
        <v>2</v>
      </c>
      <c r="E19" s="2">
        <v>2</v>
      </c>
      <c r="F19" s="22">
        <v>100.373</v>
      </c>
      <c r="G19" s="16">
        <v>1</v>
      </c>
      <c r="H19" s="22" t="s">
        <v>32</v>
      </c>
      <c r="I19" s="23">
        <v>1012</v>
      </c>
      <c r="J19" s="27">
        <v>44.9</v>
      </c>
      <c r="K19" s="44">
        <v>482.3</v>
      </c>
      <c r="L19" s="28">
        <v>1937.8</v>
      </c>
      <c r="M19" s="28">
        <f>L19</f>
        <v>1937.8</v>
      </c>
      <c r="N19" s="28">
        <v>1080.3</v>
      </c>
      <c r="O19" s="30">
        <f>133522.19/F19</f>
        <v>1330.2600300877725</v>
      </c>
      <c r="P19" s="30">
        <v>1330.26</v>
      </c>
      <c r="Q19" s="29" t="s">
        <v>34</v>
      </c>
      <c r="S19" s="41">
        <f>N19/O19</f>
        <v>0.81209686494806599</v>
      </c>
      <c r="U19" s="41">
        <f>N19/N9</f>
        <v>0.64390253051794899</v>
      </c>
    </row>
    <row r="20" spans="1:21" ht="19.5" customHeight="1" x14ac:dyDescent="0.3">
      <c r="A20" s="61" t="s">
        <v>45</v>
      </c>
      <c r="B20" s="64">
        <v>33</v>
      </c>
      <c r="C20" s="58" t="s">
        <v>46</v>
      </c>
      <c r="D20" s="2" t="s">
        <v>47</v>
      </c>
      <c r="E20" s="2">
        <v>4</v>
      </c>
      <c r="F20" s="20">
        <v>3</v>
      </c>
      <c r="G20" s="17">
        <v>1E-3</v>
      </c>
      <c r="H20" s="67" t="s">
        <v>48</v>
      </c>
      <c r="I20" s="2">
        <v>11073</v>
      </c>
      <c r="J20" s="67">
        <v>5.7</v>
      </c>
      <c r="K20" s="70">
        <v>387.89100000000002</v>
      </c>
      <c r="L20" s="2"/>
      <c r="M20" s="70">
        <v>1198.1969999999999</v>
      </c>
      <c r="N20" s="67">
        <v>1060.73</v>
      </c>
      <c r="O20" s="64">
        <v>3651027.44</v>
      </c>
      <c r="P20" s="70">
        <v>1198.2</v>
      </c>
      <c r="Q20" s="73" t="s">
        <v>49</v>
      </c>
      <c r="S20" s="41"/>
    </row>
    <row r="21" spans="1:21" ht="19.5" customHeight="1" x14ac:dyDescent="0.3">
      <c r="A21" s="62"/>
      <c r="B21" s="65"/>
      <c r="C21" s="59"/>
      <c r="D21" s="67" t="s">
        <v>1</v>
      </c>
      <c r="E21" s="2">
        <v>4</v>
      </c>
      <c r="F21" s="20">
        <v>6.63</v>
      </c>
      <c r="G21" s="17">
        <v>2E-3</v>
      </c>
      <c r="H21" s="68"/>
      <c r="I21" s="2">
        <v>8613</v>
      </c>
      <c r="J21" s="68"/>
      <c r="K21" s="71"/>
      <c r="L21" s="2"/>
      <c r="M21" s="71"/>
      <c r="N21" s="68"/>
      <c r="O21" s="65"/>
      <c r="P21" s="71"/>
      <c r="Q21" s="73"/>
      <c r="S21" s="41"/>
    </row>
    <row r="22" spans="1:21" ht="19.5" customHeight="1" x14ac:dyDescent="0.3">
      <c r="A22" s="62"/>
      <c r="B22" s="65"/>
      <c r="C22" s="59"/>
      <c r="D22" s="69"/>
      <c r="E22" s="2">
        <v>2</v>
      </c>
      <c r="F22" s="20">
        <v>70.37</v>
      </c>
      <c r="G22" s="17">
        <v>2.4E-2</v>
      </c>
      <c r="H22" s="68"/>
      <c r="I22" s="2">
        <v>3408</v>
      </c>
      <c r="J22" s="68"/>
      <c r="K22" s="71"/>
      <c r="L22" s="2"/>
      <c r="M22" s="71"/>
      <c r="N22" s="68"/>
      <c r="O22" s="65"/>
      <c r="P22" s="71"/>
      <c r="Q22" s="73"/>
      <c r="S22" s="41"/>
    </row>
    <row r="23" spans="1:21" ht="19.5" customHeight="1" x14ac:dyDescent="0.3">
      <c r="A23" s="62"/>
      <c r="B23" s="65"/>
      <c r="C23" s="59"/>
      <c r="D23" s="2" t="s">
        <v>2</v>
      </c>
      <c r="E23" s="2">
        <v>2</v>
      </c>
      <c r="F23" s="20">
        <v>674</v>
      </c>
      <c r="G23" s="17">
        <f t="shared" ref="G23:G24" si="1">ROUND(F23/$F$14,3)</f>
        <v>8.51</v>
      </c>
      <c r="H23" s="68"/>
      <c r="I23" s="2">
        <v>3090</v>
      </c>
      <c r="J23" s="68"/>
      <c r="K23" s="71"/>
      <c r="L23" s="2"/>
      <c r="M23" s="71"/>
      <c r="N23" s="68"/>
      <c r="O23" s="65"/>
      <c r="P23" s="71"/>
      <c r="Q23" s="73"/>
      <c r="S23" s="41"/>
    </row>
    <row r="24" spans="1:21" ht="19.5" customHeight="1" x14ac:dyDescent="0.3">
      <c r="A24" s="62"/>
      <c r="B24" s="65"/>
      <c r="C24" s="59"/>
      <c r="D24" s="2" t="s">
        <v>3</v>
      </c>
      <c r="E24" s="2">
        <v>2</v>
      </c>
      <c r="F24" s="20">
        <v>1988</v>
      </c>
      <c r="G24" s="17">
        <f t="shared" si="1"/>
        <v>25.102</v>
      </c>
      <c r="H24" s="68"/>
      <c r="I24" s="2">
        <v>429</v>
      </c>
      <c r="J24" s="68"/>
      <c r="K24" s="71"/>
      <c r="L24" s="2"/>
      <c r="M24" s="71"/>
      <c r="N24" s="68"/>
      <c r="O24" s="65"/>
      <c r="P24" s="71"/>
      <c r="Q24" s="73"/>
      <c r="S24" s="41"/>
    </row>
    <row r="25" spans="1:21" ht="19.5" customHeight="1" x14ac:dyDescent="0.3">
      <c r="A25" s="62"/>
      <c r="B25" s="65"/>
      <c r="C25" s="59"/>
      <c r="D25" s="2" t="s">
        <v>50</v>
      </c>
      <c r="E25" s="2"/>
      <c r="F25" s="20">
        <v>305.10000000000002</v>
      </c>
      <c r="G25" s="17">
        <v>0.1</v>
      </c>
      <c r="H25" s="68"/>
      <c r="I25" s="2">
        <v>120</v>
      </c>
      <c r="J25" s="68"/>
      <c r="K25" s="71"/>
      <c r="L25" s="2"/>
      <c r="M25" s="71"/>
      <c r="N25" s="68"/>
      <c r="O25" s="65"/>
      <c r="P25" s="71"/>
      <c r="Q25" s="73"/>
      <c r="S25" s="41"/>
    </row>
    <row r="26" spans="1:21" ht="19.5" customHeight="1" x14ac:dyDescent="0.3">
      <c r="A26" s="63"/>
      <c r="B26" s="66"/>
      <c r="C26" s="60"/>
      <c r="D26" s="22" t="s">
        <v>4</v>
      </c>
      <c r="E26" s="22"/>
      <c r="F26" s="51">
        <f>SUM(F20:F25)</f>
        <v>3047.1</v>
      </c>
      <c r="G26" s="17">
        <f>SUM(G20:G25)</f>
        <v>33.738999999999997</v>
      </c>
      <c r="H26" s="69"/>
      <c r="I26" s="21"/>
      <c r="J26" s="69"/>
      <c r="K26" s="72"/>
      <c r="L26" s="22"/>
      <c r="M26" s="72"/>
      <c r="N26" s="69"/>
      <c r="O26" s="66"/>
      <c r="P26" s="72"/>
      <c r="Q26" s="73"/>
      <c r="S26" s="41"/>
    </row>
    <row r="27" spans="1:21" ht="125.25" customHeight="1" x14ac:dyDescent="0.3">
      <c r="A27" s="22" t="s">
        <v>10</v>
      </c>
      <c r="B27" s="22">
        <v>18.100000000000001</v>
      </c>
      <c r="C27" s="22" t="s">
        <v>51</v>
      </c>
      <c r="D27" s="2" t="s">
        <v>2</v>
      </c>
      <c r="E27" s="2">
        <v>2</v>
      </c>
      <c r="F27" s="2">
        <v>57.018000000000001</v>
      </c>
      <c r="G27" s="16">
        <v>1</v>
      </c>
      <c r="H27" s="22" t="s">
        <v>48</v>
      </c>
      <c r="I27" s="23">
        <v>6910</v>
      </c>
      <c r="J27" s="30">
        <v>53</v>
      </c>
      <c r="K27" s="44">
        <v>408</v>
      </c>
      <c r="L27" s="30">
        <v>1850.53</v>
      </c>
      <c r="M27" s="30">
        <f>L27</f>
        <v>1850.53</v>
      </c>
      <c r="N27" s="44">
        <v>563.37544700000001</v>
      </c>
      <c r="O27" s="22">
        <v>1373.9</v>
      </c>
      <c r="P27" s="22">
        <v>1373.9</v>
      </c>
      <c r="Q27" s="24" t="s">
        <v>52</v>
      </c>
      <c r="S27" s="41">
        <f>N27/O27</f>
        <v>0.41005564233204744</v>
      </c>
    </row>
    <row r="28" spans="1:21" ht="118.8" x14ac:dyDescent="0.3">
      <c r="A28" s="52" t="s">
        <v>53</v>
      </c>
      <c r="B28" s="52">
        <v>22.4</v>
      </c>
      <c r="C28" s="53" t="s">
        <v>54</v>
      </c>
      <c r="D28" s="52" t="s">
        <v>2</v>
      </c>
      <c r="E28" s="52">
        <v>2</v>
      </c>
      <c r="F28" s="52">
        <v>20.934000000000001</v>
      </c>
      <c r="G28" s="16">
        <v>1</v>
      </c>
      <c r="H28" s="52" t="s">
        <v>55</v>
      </c>
      <c r="I28" s="52">
        <v>3580</v>
      </c>
      <c r="J28" s="52">
        <v>64</v>
      </c>
      <c r="K28" s="52">
        <v>235.2</v>
      </c>
      <c r="L28" s="52" t="s">
        <v>14</v>
      </c>
      <c r="M28" s="52" t="s">
        <v>14</v>
      </c>
      <c r="N28" s="52">
        <v>251.6</v>
      </c>
      <c r="O28" s="52">
        <v>1327</v>
      </c>
      <c r="P28" s="52">
        <v>1327</v>
      </c>
      <c r="Q28" s="54" t="s">
        <v>56</v>
      </c>
      <c r="S28" s="41">
        <f t="shared" ref="S28:S29" si="2">N28/O28</f>
        <v>0.18960060286360211</v>
      </c>
      <c r="U28" s="32">
        <f>N28/N13</f>
        <v>0.26860551985515196</v>
      </c>
    </row>
    <row r="29" spans="1:21" ht="242.25" customHeight="1" x14ac:dyDescent="0.3">
      <c r="A29" s="22" t="s">
        <v>40</v>
      </c>
      <c r="B29" s="40">
        <v>24.7</v>
      </c>
      <c r="C29" s="22" t="s">
        <v>57</v>
      </c>
      <c r="D29" s="2" t="s">
        <v>2</v>
      </c>
      <c r="E29" s="2">
        <v>2</v>
      </c>
      <c r="F29" s="22">
        <v>56.5</v>
      </c>
      <c r="G29" s="26">
        <v>100</v>
      </c>
      <c r="H29" s="22" t="s">
        <v>58</v>
      </c>
      <c r="I29" s="23">
        <v>67</v>
      </c>
      <c r="J29" s="27">
        <v>3.5</v>
      </c>
      <c r="K29" s="44" t="s">
        <v>59</v>
      </c>
      <c r="L29" s="57" t="s">
        <v>60</v>
      </c>
      <c r="M29" s="57"/>
      <c r="N29" s="51">
        <v>227.80799999999999</v>
      </c>
      <c r="O29" s="44">
        <f>54686.915/F29</f>
        <v>967.91</v>
      </c>
      <c r="P29" s="44">
        <f>O29</f>
        <v>967.91</v>
      </c>
      <c r="Q29" s="24" t="s">
        <v>61</v>
      </c>
      <c r="S29" s="41">
        <f t="shared" si="2"/>
        <v>0.23536072568730565</v>
      </c>
      <c r="U29" s="32">
        <f>N29/N17</f>
        <v>0.23398520953163515</v>
      </c>
    </row>
    <row r="30" spans="1:21" ht="14.4" x14ac:dyDescent="0.3">
      <c r="F30" s="55"/>
      <c r="G30" s="55"/>
      <c r="H30" s="55"/>
      <c r="I30" s="55"/>
      <c r="J30" s="55"/>
      <c r="K30" s="55"/>
      <c r="N30" s="55"/>
      <c r="O30" s="55"/>
      <c r="P30" s="55"/>
    </row>
    <row r="31" spans="1:21" ht="14.4" x14ac:dyDescent="0.3">
      <c r="F31" s="55"/>
      <c r="G31" s="55"/>
      <c r="H31" s="55"/>
      <c r="I31" s="55"/>
      <c r="J31" s="55"/>
      <c r="K31" s="55"/>
      <c r="N31" s="55"/>
      <c r="O31" s="55"/>
      <c r="P31" s="55"/>
    </row>
    <row r="32" spans="1:21" ht="14.4" x14ac:dyDescent="0.3">
      <c r="C32" s="55"/>
      <c r="F32" s="55"/>
      <c r="G32" s="55"/>
      <c r="H32" s="55"/>
      <c r="I32" s="55"/>
      <c r="J32" s="55"/>
      <c r="K32" s="55"/>
      <c r="N32" s="55"/>
      <c r="O32" s="55"/>
      <c r="P32" s="55"/>
    </row>
    <row r="33" spans="3:16" ht="14.4" x14ac:dyDescent="0.3">
      <c r="C33" s="55"/>
      <c r="F33" s="55"/>
      <c r="G33" s="55"/>
      <c r="H33" s="55"/>
      <c r="I33" s="55"/>
      <c r="J33" s="55"/>
      <c r="K33" s="55"/>
      <c r="N33" s="55"/>
      <c r="O33" s="55"/>
      <c r="P33" s="55"/>
    </row>
    <row r="34" spans="3:16" ht="14.4" x14ac:dyDescent="0.3">
      <c r="C34" s="55"/>
      <c r="F34" s="55"/>
      <c r="G34" s="55"/>
      <c r="H34" s="55"/>
      <c r="I34" s="55"/>
      <c r="J34" s="55"/>
      <c r="K34" s="55"/>
      <c r="N34" s="55"/>
      <c r="O34" s="55"/>
      <c r="P34" s="55"/>
    </row>
    <row r="35" spans="3:16" ht="14.4" x14ac:dyDescent="0.3">
      <c r="C35" s="55"/>
      <c r="F35" s="55"/>
      <c r="G35" s="55"/>
      <c r="H35" s="55"/>
      <c r="I35" s="55"/>
      <c r="J35" s="55"/>
      <c r="K35" s="55"/>
      <c r="N35" s="55"/>
      <c r="O35" s="55"/>
      <c r="P35" s="55"/>
    </row>
    <row r="36" spans="3:16" ht="14.4" x14ac:dyDescent="0.3">
      <c r="C36" s="55"/>
      <c r="F36" s="55"/>
      <c r="G36" s="55"/>
      <c r="H36" s="55"/>
      <c r="I36" s="55"/>
      <c r="J36" s="55"/>
      <c r="K36" s="55"/>
      <c r="N36" s="55"/>
      <c r="O36" s="55"/>
      <c r="P36" s="55"/>
    </row>
    <row r="37" spans="3:16" ht="14.4" x14ac:dyDescent="0.3">
      <c r="C37" s="55"/>
      <c r="F37" s="55"/>
      <c r="G37" s="55"/>
      <c r="H37" s="55"/>
      <c r="I37" s="55"/>
      <c r="J37" s="55"/>
      <c r="K37" s="55"/>
      <c r="N37" s="55"/>
      <c r="O37" s="55"/>
      <c r="P37" s="55"/>
    </row>
    <row r="38" spans="3:16" ht="14.4" x14ac:dyDescent="0.3">
      <c r="C38" s="55"/>
      <c r="F38" s="55"/>
      <c r="G38" s="55"/>
      <c r="H38" s="55"/>
      <c r="I38" s="55"/>
      <c r="J38" s="55"/>
      <c r="K38" s="55"/>
      <c r="N38" s="55"/>
      <c r="O38" s="55"/>
      <c r="P38" s="55"/>
    </row>
    <row r="39" spans="3:16" ht="14.4" x14ac:dyDescent="0.3">
      <c r="C39" s="55"/>
      <c r="F39" s="55"/>
      <c r="G39" s="55"/>
      <c r="H39" s="55"/>
      <c r="I39" s="55"/>
      <c r="J39" s="55"/>
      <c r="K39" s="55"/>
      <c r="N39" s="55"/>
      <c r="O39" s="55"/>
      <c r="P39" s="55"/>
    </row>
    <row r="40" spans="3:16" ht="14.4" x14ac:dyDescent="0.3">
      <c r="C40" s="55"/>
      <c r="F40" s="55"/>
      <c r="G40" s="55"/>
      <c r="H40" s="55"/>
      <c r="I40" s="55"/>
      <c r="J40" s="55"/>
      <c r="K40" s="55"/>
      <c r="N40" s="55"/>
      <c r="O40" s="55"/>
      <c r="P40" s="55"/>
    </row>
    <row r="41" spans="3:16" ht="14.4" x14ac:dyDescent="0.3">
      <c r="C41" s="55"/>
      <c r="F41" s="55"/>
      <c r="G41" s="55"/>
      <c r="H41" s="55"/>
      <c r="I41" s="55"/>
      <c r="J41" s="55"/>
      <c r="K41" s="55"/>
      <c r="N41" s="55"/>
      <c r="O41" s="55"/>
      <c r="P41" s="55"/>
    </row>
    <row r="42" spans="3:16" ht="14.4" x14ac:dyDescent="0.3">
      <c r="F42" s="55"/>
      <c r="G42" s="55"/>
      <c r="H42" s="55"/>
      <c r="I42" s="55"/>
      <c r="J42" s="55"/>
      <c r="K42" s="55"/>
      <c r="N42" s="55"/>
      <c r="O42" s="55"/>
      <c r="P42" s="55"/>
    </row>
    <row r="43" spans="3:16" ht="14.4" x14ac:dyDescent="0.3">
      <c r="F43" s="55"/>
      <c r="G43" s="55"/>
      <c r="H43" s="55"/>
      <c r="I43" s="55"/>
      <c r="J43" s="55"/>
      <c r="K43" s="55"/>
      <c r="N43" s="55"/>
      <c r="O43" s="55"/>
      <c r="P43" s="55"/>
    </row>
    <row r="44" spans="3:16" ht="14.4" x14ac:dyDescent="0.3">
      <c r="F44" s="55"/>
      <c r="G44" s="55"/>
      <c r="H44" s="55"/>
      <c r="I44" s="55"/>
      <c r="J44" s="55"/>
      <c r="K44" s="55"/>
      <c r="N44" s="55"/>
      <c r="O44" s="55"/>
      <c r="P44" s="55"/>
    </row>
    <row r="45" spans="3:16" ht="14.4" x14ac:dyDescent="0.3">
      <c r="F45" s="55"/>
      <c r="G45" s="55"/>
      <c r="H45" s="55"/>
      <c r="I45" s="55"/>
      <c r="J45" s="55"/>
      <c r="K45" s="55"/>
      <c r="N45" s="55"/>
      <c r="O45" s="55"/>
      <c r="P45" s="55"/>
    </row>
    <row r="46" spans="3:16" ht="14.4" x14ac:dyDescent="0.3">
      <c r="F46" s="55"/>
      <c r="G46" s="55"/>
      <c r="H46" s="55"/>
      <c r="I46" s="55"/>
      <c r="J46" s="55"/>
      <c r="K46" s="55"/>
      <c r="N46" s="55"/>
      <c r="O46" s="55"/>
      <c r="P46" s="55"/>
    </row>
    <row r="47" spans="3:16" ht="14.4" x14ac:dyDescent="0.3">
      <c r="F47" s="55"/>
      <c r="G47" s="55"/>
      <c r="H47" s="55"/>
      <c r="I47" s="55"/>
      <c r="J47" s="55"/>
      <c r="K47" s="55"/>
      <c r="N47" s="55"/>
      <c r="O47" s="55"/>
      <c r="P47" s="55"/>
    </row>
    <row r="48" spans="3:16" ht="14.4" x14ac:dyDescent="0.3">
      <c r="F48" s="55"/>
      <c r="G48" s="55"/>
      <c r="H48" s="55"/>
      <c r="I48" s="55"/>
      <c r="J48" s="55"/>
      <c r="K48" s="55"/>
      <c r="N48" s="55"/>
      <c r="O48" s="55"/>
      <c r="P48" s="55"/>
    </row>
    <row r="49" spans="6:16" ht="14.4" x14ac:dyDescent="0.3">
      <c r="F49" s="55"/>
      <c r="G49" s="55"/>
      <c r="H49" s="55"/>
      <c r="I49" s="55"/>
      <c r="J49" s="55"/>
      <c r="K49" s="55"/>
      <c r="N49" s="55"/>
      <c r="O49" s="55"/>
      <c r="P49" s="55"/>
    </row>
  </sheetData>
  <mergeCells count="36">
    <mergeCell ref="N9:N12"/>
    <mergeCell ref="P9:P12"/>
    <mergeCell ref="Q9:Q12"/>
    <mergeCell ref="J9:J12"/>
    <mergeCell ref="A9:A12"/>
    <mergeCell ref="B9:B12"/>
    <mergeCell ref="C9:C12"/>
    <mergeCell ref="H9:H12"/>
    <mergeCell ref="I9:I12"/>
    <mergeCell ref="A14:A16"/>
    <mergeCell ref="C14:C16"/>
    <mergeCell ref="B14:B16"/>
    <mergeCell ref="K9:K12"/>
    <mergeCell ref="M9:M12"/>
    <mergeCell ref="N14:N16"/>
    <mergeCell ref="P14:P16"/>
    <mergeCell ref="H14:H16"/>
    <mergeCell ref="I14:I16"/>
    <mergeCell ref="J14:J16"/>
    <mergeCell ref="K14:K16"/>
    <mergeCell ref="A5:Q5"/>
    <mergeCell ref="L29:M29"/>
    <mergeCell ref="C20:C26"/>
    <mergeCell ref="Q14:Q16"/>
    <mergeCell ref="A20:A26"/>
    <mergeCell ref="B20:B26"/>
    <mergeCell ref="H20:H26"/>
    <mergeCell ref="J20:J26"/>
    <mergeCell ref="K20:K26"/>
    <mergeCell ref="M20:M26"/>
    <mergeCell ref="N20:N26"/>
    <mergeCell ref="O20:O26"/>
    <mergeCell ref="P20:P26"/>
    <mergeCell ref="Q20:Q26"/>
    <mergeCell ref="D21:D22"/>
    <mergeCell ref="M14:M16"/>
  </mergeCells>
  <pageMargins left="0.7" right="0.7" top="0.75" bottom="0.75" header="0.3" footer="0.3"/>
  <pageSetup paperSize="9" scale="44" fitToHeight="0" orientation="landscape" r:id="rId1"/>
  <rowBreaks count="1" manualBreakCount="1">
    <brk id="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42"/>
  <sheetViews>
    <sheetView zoomScaleNormal="100" workbookViewId="0">
      <selection activeCell="C22" sqref="C22"/>
    </sheetView>
  </sheetViews>
  <sheetFormatPr defaultColWidth="9.109375" defaultRowHeight="13.2" x14ac:dyDescent="0.3"/>
  <cols>
    <col min="1" max="1" width="9.109375" style="1"/>
    <col min="2" max="2" width="12.33203125" style="1" customWidth="1"/>
    <col min="3" max="3" width="26.5546875" style="1" customWidth="1"/>
    <col min="4" max="4" width="10.5546875" style="1" customWidth="1"/>
    <col min="5" max="5" width="7.109375" style="1" customWidth="1"/>
    <col min="6" max="6" width="14" style="1" bestFit="1" customWidth="1"/>
    <col min="7" max="7" width="13.109375" style="1" customWidth="1"/>
    <col min="8" max="8" width="10.5546875" style="1" bestFit="1" customWidth="1"/>
    <col min="9" max="9" width="13.33203125" style="1" bestFit="1" customWidth="1"/>
    <col min="10" max="10" width="13" style="1" customWidth="1"/>
    <col min="11" max="11" width="18" style="1" customWidth="1"/>
    <col min="12" max="12" width="13.88671875" style="1" customWidth="1"/>
    <col min="13" max="13" width="14.5546875" style="1" customWidth="1"/>
    <col min="14" max="14" width="14.5546875" style="1" bestFit="1" customWidth="1"/>
    <col min="15" max="16" width="18" style="1" customWidth="1"/>
    <col min="17" max="17" width="36.33203125" style="1" customWidth="1"/>
    <col min="18" max="20" width="9.109375" style="1"/>
    <col min="21" max="21" width="18.109375" style="1" customWidth="1"/>
    <col min="22" max="16384" width="9.109375" style="1"/>
  </cols>
  <sheetData>
    <row r="4" spans="1:17" ht="18" x14ac:dyDescent="0.3">
      <c r="B4" s="13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7" x14ac:dyDescent="0.3">
      <c r="Q5" s="15" t="s">
        <v>28</v>
      </c>
    </row>
    <row r="6" spans="1:17" ht="118.8" x14ac:dyDescent="0.3">
      <c r="A6" s="3" t="s">
        <v>9</v>
      </c>
      <c r="B6" s="3" t="s">
        <v>22</v>
      </c>
      <c r="C6" s="3" t="s">
        <v>8</v>
      </c>
      <c r="D6" s="2" t="s">
        <v>5</v>
      </c>
      <c r="E6" s="2" t="s">
        <v>6</v>
      </c>
      <c r="F6" s="2" t="s">
        <v>7</v>
      </c>
      <c r="G6" s="2" t="s">
        <v>27</v>
      </c>
      <c r="H6" s="3" t="s">
        <v>11</v>
      </c>
      <c r="I6" s="3" t="s">
        <v>13</v>
      </c>
      <c r="J6" s="3" t="s">
        <v>20</v>
      </c>
      <c r="K6" s="3" t="s">
        <v>25</v>
      </c>
      <c r="L6" s="3" t="s">
        <v>16</v>
      </c>
      <c r="M6" s="6" t="s">
        <v>26</v>
      </c>
      <c r="N6" s="6" t="s">
        <v>23</v>
      </c>
      <c r="O6" s="3" t="s">
        <v>30</v>
      </c>
      <c r="P6" s="6" t="s">
        <v>29</v>
      </c>
      <c r="Q6" s="3" t="s">
        <v>15</v>
      </c>
    </row>
    <row r="7" spans="1:17" x14ac:dyDescent="0.3">
      <c r="A7" s="88" t="s">
        <v>10</v>
      </c>
      <c r="B7" s="88">
        <v>74.7</v>
      </c>
      <c r="C7" s="91" t="s">
        <v>0</v>
      </c>
      <c r="D7" s="2" t="s">
        <v>1</v>
      </c>
      <c r="E7" s="2">
        <v>2</v>
      </c>
      <c r="F7" s="2">
        <v>145.31899999999999</v>
      </c>
      <c r="G7" s="5">
        <f>ROUND(F7/$F$10,3)</f>
        <v>0.53300000000000003</v>
      </c>
      <c r="H7" s="88" t="s">
        <v>12</v>
      </c>
      <c r="I7" s="92">
        <v>2600</v>
      </c>
      <c r="J7" s="93">
        <v>63.56</v>
      </c>
      <c r="K7" s="91">
        <v>904.5</v>
      </c>
      <c r="L7" s="3">
        <v>2082.4</v>
      </c>
      <c r="M7" s="93">
        <f>L7*$G7+L8*$G8+L9*$G9</f>
        <v>2057.1112000000003</v>
      </c>
      <c r="N7" s="93">
        <v>1677.738397969981</v>
      </c>
      <c r="O7" s="11">
        <f>385488.909728515/F7</f>
        <v>2652.7082468811032</v>
      </c>
      <c r="P7" s="93">
        <f>O7*$G7+O8*$G8+O9*$G9</f>
        <v>2163.2756140222768</v>
      </c>
      <c r="Q7" s="96" t="s">
        <v>18</v>
      </c>
    </row>
    <row r="8" spans="1:17" x14ac:dyDescent="0.3">
      <c r="A8" s="89"/>
      <c r="B8" s="89"/>
      <c r="C8" s="91"/>
      <c r="D8" s="2" t="s">
        <v>2</v>
      </c>
      <c r="E8" s="2">
        <v>2</v>
      </c>
      <c r="F8" s="2">
        <v>127.072</v>
      </c>
      <c r="G8" s="5">
        <f t="shared" ref="G8:G10" si="0">ROUND(F8/$F$10,3)</f>
        <v>0.46600000000000003</v>
      </c>
      <c r="H8" s="89"/>
      <c r="I8" s="92"/>
      <c r="J8" s="94"/>
      <c r="K8" s="91"/>
      <c r="L8" s="3">
        <v>2024.4</v>
      </c>
      <c r="M8" s="94"/>
      <c r="N8" s="94"/>
      <c r="O8" s="11">
        <f>203680.777488992/F8</f>
        <v>1602.8769318889447</v>
      </c>
      <c r="P8" s="94"/>
      <c r="Q8" s="97"/>
    </row>
    <row r="9" spans="1:17" x14ac:dyDescent="0.3">
      <c r="A9" s="89"/>
      <c r="B9" s="89"/>
      <c r="C9" s="91"/>
      <c r="D9" s="2" t="s">
        <v>3</v>
      </c>
      <c r="E9" s="2">
        <v>2</v>
      </c>
      <c r="F9" s="2">
        <v>0.46300000000000002</v>
      </c>
      <c r="G9" s="5">
        <f t="shared" si="0"/>
        <v>2E-3</v>
      </c>
      <c r="H9" s="89"/>
      <c r="I9" s="92"/>
      <c r="J9" s="94"/>
      <c r="K9" s="91"/>
      <c r="L9" s="3">
        <v>1910.8</v>
      </c>
      <c r="M9" s="94"/>
      <c r="N9" s="94"/>
      <c r="O9" s="11">
        <f>565.199882373686/F9</f>
        <v>1220.7340872001857</v>
      </c>
      <c r="P9" s="94"/>
      <c r="Q9" s="97"/>
    </row>
    <row r="10" spans="1:17" x14ac:dyDescent="0.3">
      <c r="A10" s="90"/>
      <c r="B10" s="90"/>
      <c r="C10" s="91"/>
      <c r="D10" s="3" t="s">
        <v>4</v>
      </c>
      <c r="E10" s="3"/>
      <c r="F10" s="3">
        <f>SUM(F7:F9)</f>
        <v>272.85399999999998</v>
      </c>
      <c r="G10" s="5">
        <f t="shared" si="0"/>
        <v>1</v>
      </c>
      <c r="H10" s="90"/>
      <c r="I10" s="92"/>
      <c r="J10" s="95"/>
      <c r="K10" s="91"/>
      <c r="L10" s="3" t="s">
        <v>14</v>
      </c>
      <c r="M10" s="95"/>
      <c r="N10" s="95"/>
      <c r="O10" s="3" t="s">
        <v>14</v>
      </c>
      <c r="P10" s="95"/>
      <c r="Q10" s="98"/>
    </row>
    <row r="11" spans="1:17" ht="198" x14ac:dyDescent="0.3">
      <c r="A11" s="3" t="s">
        <v>17</v>
      </c>
      <c r="B11" s="3">
        <v>91.2</v>
      </c>
      <c r="C11" s="3" t="s">
        <v>19</v>
      </c>
      <c r="D11" s="2" t="s">
        <v>2</v>
      </c>
      <c r="E11" s="2">
        <v>2</v>
      </c>
      <c r="F11" s="3">
        <v>403.68099999999998</v>
      </c>
      <c r="G11" s="5">
        <v>1</v>
      </c>
      <c r="H11" s="3" t="s">
        <v>12</v>
      </c>
      <c r="I11" s="7">
        <v>2700</v>
      </c>
      <c r="J11" s="14">
        <v>75.59</v>
      </c>
      <c r="K11" s="11">
        <v>515.95271400061131</v>
      </c>
      <c r="L11" s="9">
        <v>1738.5</v>
      </c>
      <c r="M11" s="8">
        <f>L11</f>
        <v>1738.5</v>
      </c>
      <c r="N11" s="11">
        <v>936.68961135153756</v>
      </c>
      <c r="O11" s="11">
        <f>553083.510374904/F11</f>
        <v>1370.1004267600013</v>
      </c>
      <c r="P11" s="11">
        <f>O11</f>
        <v>1370.1004267600013</v>
      </c>
      <c r="Q11" s="10" t="s">
        <v>21</v>
      </c>
    </row>
    <row r="12" spans="1:17" ht="14.4" x14ac:dyDescent="0.3">
      <c r="Q12"/>
    </row>
    <row r="16" spans="1:17" x14ac:dyDescent="0.3">
      <c r="I16" s="4"/>
      <c r="J16" s="4"/>
    </row>
    <row r="19" spans="2:16" ht="14.4" x14ac:dyDescent="0.3">
      <c r="G19"/>
      <c r="H19"/>
      <c r="I19"/>
      <c r="J19"/>
      <c r="K19"/>
      <c r="N19"/>
      <c r="O19"/>
      <c r="P19"/>
    </row>
    <row r="20" spans="2:16" ht="14.4" x14ac:dyDescent="0.3">
      <c r="B20"/>
      <c r="C20"/>
      <c r="D20"/>
      <c r="F20"/>
      <c r="G20"/>
      <c r="H20"/>
      <c r="I20"/>
      <c r="J20"/>
      <c r="K20"/>
      <c r="N20"/>
      <c r="O20"/>
      <c r="P20"/>
    </row>
    <row r="21" spans="2:16" ht="14.4" x14ac:dyDescent="0.3">
      <c r="F21"/>
      <c r="G21"/>
      <c r="H21"/>
      <c r="I21"/>
      <c r="J21"/>
      <c r="K21"/>
      <c r="N21"/>
      <c r="O21"/>
      <c r="P21"/>
    </row>
    <row r="22" spans="2:16" ht="14.4" x14ac:dyDescent="0.3">
      <c r="F22"/>
      <c r="G22"/>
      <c r="H22"/>
      <c r="I22"/>
      <c r="J22"/>
      <c r="K22"/>
      <c r="N22"/>
      <c r="O22"/>
      <c r="P22"/>
    </row>
    <row r="23" spans="2:16" ht="14.4" x14ac:dyDescent="0.3">
      <c r="F23"/>
      <c r="G23"/>
      <c r="H23"/>
      <c r="I23"/>
      <c r="J23"/>
      <c r="K23"/>
      <c r="N23"/>
      <c r="O23"/>
      <c r="P23"/>
    </row>
    <row r="24" spans="2:16" ht="14.4" x14ac:dyDescent="0.3">
      <c r="F24"/>
      <c r="G24"/>
      <c r="H24"/>
      <c r="I24"/>
      <c r="J24"/>
      <c r="K24"/>
      <c r="N24"/>
      <c r="O24"/>
      <c r="P24"/>
    </row>
    <row r="25" spans="2:16" ht="14.4" x14ac:dyDescent="0.3">
      <c r="F25"/>
      <c r="G25"/>
      <c r="H25"/>
      <c r="I25"/>
      <c r="J25"/>
      <c r="K25"/>
      <c r="N25"/>
      <c r="O25"/>
      <c r="P25"/>
    </row>
    <row r="26" spans="2:16" ht="14.4" x14ac:dyDescent="0.3">
      <c r="F26"/>
      <c r="G26"/>
      <c r="H26"/>
      <c r="I26"/>
      <c r="J26"/>
      <c r="K26"/>
      <c r="N26"/>
      <c r="O26"/>
      <c r="P26"/>
    </row>
    <row r="27" spans="2:16" ht="14.4" x14ac:dyDescent="0.3">
      <c r="F27"/>
      <c r="G27"/>
      <c r="H27"/>
      <c r="I27"/>
      <c r="J27"/>
      <c r="K27"/>
      <c r="N27"/>
      <c r="O27"/>
      <c r="P27"/>
    </row>
    <row r="28" spans="2:16" ht="14.4" x14ac:dyDescent="0.3">
      <c r="F28"/>
      <c r="G28"/>
      <c r="H28"/>
      <c r="I28"/>
      <c r="J28"/>
      <c r="K28"/>
      <c r="N28"/>
      <c r="O28"/>
      <c r="P28"/>
    </row>
    <row r="29" spans="2:16" ht="14.4" x14ac:dyDescent="0.3">
      <c r="F29"/>
      <c r="G29"/>
      <c r="H29"/>
      <c r="I29"/>
      <c r="J29"/>
      <c r="K29"/>
      <c r="N29"/>
      <c r="O29"/>
      <c r="P29"/>
    </row>
    <row r="30" spans="2:16" ht="14.4" x14ac:dyDescent="0.3">
      <c r="F30"/>
      <c r="G30"/>
      <c r="H30"/>
      <c r="I30"/>
      <c r="J30"/>
      <c r="K30"/>
      <c r="N30"/>
      <c r="O30"/>
      <c r="P30"/>
    </row>
    <row r="31" spans="2:16" ht="14.4" x14ac:dyDescent="0.3">
      <c r="F31"/>
      <c r="G31"/>
      <c r="H31"/>
      <c r="I31"/>
      <c r="J31"/>
      <c r="K31"/>
      <c r="N31"/>
      <c r="O31"/>
      <c r="P31"/>
    </row>
    <row r="32" spans="2:16" ht="14.4" x14ac:dyDescent="0.3">
      <c r="F32"/>
      <c r="G32"/>
      <c r="H32"/>
      <c r="I32"/>
      <c r="J32"/>
      <c r="K32"/>
      <c r="N32"/>
      <c r="O32"/>
      <c r="P32"/>
    </row>
    <row r="33" spans="6:16" ht="14.4" x14ac:dyDescent="0.3">
      <c r="F33"/>
      <c r="G33"/>
      <c r="H33"/>
      <c r="I33"/>
      <c r="J33"/>
      <c r="K33"/>
      <c r="N33"/>
      <c r="O33"/>
      <c r="P33"/>
    </row>
    <row r="34" spans="6:16" ht="14.4" x14ac:dyDescent="0.3">
      <c r="F34"/>
      <c r="G34"/>
      <c r="H34"/>
      <c r="I34"/>
      <c r="J34"/>
      <c r="K34"/>
      <c r="N34"/>
      <c r="O34"/>
      <c r="P34"/>
    </row>
    <row r="35" spans="6:16" ht="14.4" x14ac:dyDescent="0.3">
      <c r="F35"/>
      <c r="G35"/>
      <c r="H35"/>
      <c r="I35"/>
      <c r="J35"/>
      <c r="K35"/>
      <c r="N35"/>
      <c r="O35"/>
      <c r="P35"/>
    </row>
    <row r="36" spans="6:16" ht="14.4" x14ac:dyDescent="0.3">
      <c r="F36"/>
      <c r="G36"/>
      <c r="H36"/>
      <c r="I36"/>
      <c r="J36"/>
      <c r="K36"/>
      <c r="N36"/>
      <c r="O36"/>
      <c r="P36"/>
    </row>
    <row r="37" spans="6:16" ht="14.4" x14ac:dyDescent="0.3">
      <c r="F37"/>
      <c r="G37"/>
      <c r="H37"/>
      <c r="I37"/>
      <c r="J37"/>
      <c r="K37"/>
      <c r="N37"/>
      <c r="O37"/>
      <c r="P37"/>
    </row>
    <row r="38" spans="6:16" ht="14.4" x14ac:dyDescent="0.3">
      <c r="F38"/>
      <c r="G38"/>
      <c r="H38"/>
      <c r="I38"/>
      <c r="J38"/>
      <c r="K38"/>
      <c r="N38"/>
      <c r="O38"/>
      <c r="P38"/>
    </row>
    <row r="39" spans="6:16" ht="14.4" x14ac:dyDescent="0.3">
      <c r="F39"/>
      <c r="G39"/>
      <c r="H39"/>
      <c r="I39"/>
      <c r="J39"/>
      <c r="K39"/>
      <c r="N39"/>
      <c r="O39"/>
      <c r="P39"/>
    </row>
    <row r="40" spans="6:16" ht="14.4" x14ac:dyDescent="0.3">
      <c r="F40"/>
      <c r="G40"/>
      <c r="H40"/>
      <c r="I40"/>
      <c r="J40"/>
      <c r="K40"/>
      <c r="N40"/>
      <c r="O40"/>
      <c r="P40"/>
    </row>
    <row r="41" spans="6:16" ht="14.4" x14ac:dyDescent="0.3">
      <c r="F41"/>
      <c r="G41"/>
      <c r="H41"/>
      <c r="I41"/>
      <c r="J41"/>
      <c r="K41"/>
      <c r="N41"/>
      <c r="O41"/>
      <c r="P41"/>
    </row>
    <row r="42" spans="6:16" ht="14.4" x14ac:dyDescent="0.3">
      <c r="F42"/>
      <c r="G42"/>
      <c r="H42"/>
      <c r="I42"/>
      <c r="J42"/>
      <c r="K42"/>
      <c r="N42"/>
      <c r="O42"/>
      <c r="P42"/>
    </row>
  </sheetData>
  <mergeCells count="11">
    <mergeCell ref="Q7:Q10"/>
    <mergeCell ref="B7:B10"/>
    <mergeCell ref="P7:P10"/>
    <mergeCell ref="N7:N10"/>
    <mergeCell ref="C7:C10"/>
    <mergeCell ref="A7:A10"/>
    <mergeCell ref="H7:H10"/>
    <mergeCell ref="K7:K10"/>
    <mergeCell ref="I7:I10"/>
    <mergeCell ref="M7:M10"/>
    <mergeCell ref="J7:J10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E8"/>
  <sheetViews>
    <sheetView workbookViewId="0">
      <selection activeCell="B30" sqref="B30"/>
    </sheetView>
  </sheetViews>
  <sheetFormatPr defaultRowHeight="14.4" x14ac:dyDescent="0.3"/>
  <cols>
    <col min="5" max="5" width="10.109375" bestFit="1" customWidth="1"/>
  </cols>
  <sheetData>
    <row r="5" spans="5:5" x14ac:dyDescent="0.3">
      <c r="E5" s="31">
        <v>43923</v>
      </c>
    </row>
    <row r="6" spans="5:5" x14ac:dyDescent="0.3">
      <c r="E6" s="31">
        <v>44000</v>
      </c>
    </row>
    <row r="8" spans="5:5" x14ac:dyDescent="0.3">
      <c r="E8">
        <f>E6-E5</f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 (2)</vt:lpstr>
      <vt:lpstr>Лист1</vt:lpstr>
      <vt:lpstr>Лист2</vt:lpstr>
      <vt:lpstr>Лист3</vt:lpstr>
      <vt:lpstr>'Лист1 (2)'!Область_печати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Счетная палата</dc:creator>
  <cp:lastModifiedBy>Брельгина</cp:lastModifiedBy>
  <cp:lastPrinted>2020-03-12T08:09:35Z</cp:lastPrinted>
  <dcterms:created xsi:type="dcterms:W3CDTF">2020-03-04T10:30:35Z</dcterms:created>
  <dcterms:modified xsi:type="dcterms:W3CDTF">2020-07-03T06:56:39Z</dcterms:modified>
</cp:coreProperties>
</file>