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hokri\فولاد و فلزات\فطلوع\"/>
    </mc:Choice>
  </mc:AlternateContent>
  <xr:revisionPtr revIDLastSave="0" documentId="13_ncr:1_{E2063903-FB2D-482A-9A05-044011FDB81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پیش بینی" sheetId="1" r:id="rId1"/>
    <sheet name="ارزشگذاری" sheetId="7" r:id="rId2"/>
    <sheet name="ماااهانه" sheetId="6" state="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1" l="1"/>
  <c r="I14" i="1"/>
  <c r="I15" i="1"/>
  <c r="I16" i="1"/>
  <c r="I17" i="1"/>
  <c r="I18" i="1"/>
  <c r="I19" i="1"/>
  <c r="I20" i="1"/>
  <c r="E12" i="1"/>
  <c r="E8" i="1"/>
  <c r="C27" i="7"/>
  <c r="C100" i="1"/>
  <c r="C99" i="1"/>
  <c r="D57" i="1"/>
  <c r="I9" i="1"/>
  <c r="I10" i="1" s="1"/>
  <c r="I11" i="1" s="1"/>
  <c r="N4" i="1" l="1"/>
  <c r="O4" i="1" s="1"/>
  <c r="L4" i="1"/>
  <c r="K4" i="1" s="1"/>
  <c r="J4" i="1" s="1"/>
  <c r="D115" i="1"/>
  <c r="F114" i="1"/>
  <c r="D114" i="1"/>
  <c r="F110" i="1"/>
  <c r="E110" i="1"/>
  <c r="D106" i="1"/>
  <c r="F106" i="1"/>
  <c r="C106" i="1"/>
  <c r="D27" i="7"/>
  <c r="D24" i="7"/>
  <c r="H27" i="1"/>
  <c r="I27" i="1"/>
  <c r="J27" i="1"/>
  <c r="H29" i="1"/>
  <c r="I29" i="1"/>
  <c r="J30" i="1"/>
  <c r="H32" i="1"/>
  <c r="I32" i="1"/>
  <c r="J32" i="1"/>
  <c r="H34" i="1"/>
  <c r="H105" i="1"/>
  <c r="I8" i="7"/>
  <c r="C33" i="7" s="1"/>
  <c r="E33" i="7" s="1"/>
  <c r="F29" i="1"/>
  <c r="J29" i="1" s="1"/>
  <c r="C105" i="1"/>
  <c r="I73" i="1"/>
  <c r="I76" i="1"/>
  <c r="I75" i="1"/>
  <c r="D68" i="1" s="1"/>
  <c r="D22" i="1"/>
  <c r="D46" i="1" s="1"/>
  <c r="E22" i="1"/>
  <c r="E46" i="1" s="1"/>
  <c r="F22" i="1"/>
  <c r="F46" i="1" s="1"/>
  <c r="F51" i="1" s="1"/>
  <c r="F61" i="1" s="1"/>
  <c r="D5" i="1"/>
  <c r="D8" i="1" s="1"/>
  <c r="E5" i="1"/>
  <c r="F4" i="1"/>
  <c r="F5" i="1" s="1"/>
  <c r="F8" i="1" s="1"/>
  <c r="F47" i="1" s="1"/>
  <c r="D5" i="7"/>
  <c r="E5" i="7" s="1"/>
  <c r="F56" i="1" l="1"/>
  <c r="F66" i="1" s="1"/>
  <c r="F73" i="1" s="1"/>
  <c r="F78" i="1" s="1"/>
  <c r="F89" i="1" s="1"/>
  <c r="F48" i="1"/>
  <c r="F74" i="1"/>
  <c r="F52" i="1"/>
  <c r="F104" i="1"/>
  <c r="F105" i="1"/>
  <c r="Q105" i="1"/>
  <c r="D109" i="1"/>
  <c r="D108" i="1"/>
  <c r="J107" i="1"/>
  <c r="E111" i="1"/>
  <c r="F111" i="1" s="1"/>
  <c r="E107" i="1"/>
  <c r="F107" i="1" s="1"/>
  <c r="E103" i="1"/>
  <c r="F103" i="1" s="1"/>
  <c r="C98" i="1"/>
  <c r="C101" i="1" s="1"/>
  <c r="D91" i="1" s="1"/>
  <c r="E91" i="1" s="1"/>
  <c r="F91" i="1" s="1"/>
  <c r="K69" i="1"/>
  <c r="L69" i="1" s="1"/>
  <c r="M69" i="1" s="1"/>
  <c r="K68" i="1"/>
  <c r="L68" i="1" s="1"/>
  <c r="M68" i="1" s="1"/>
  <c r="D79" i="1"/>
  <c r="E47" i="1"/>
  <c r="E106" i="1" s="1"/>
  <c r="E114" i="1" s="1"/>
  <c r="D47" i="1"/>
  <c r="F3" i="1"/>
  <c r="E16" i="1"/>
  <c r="F16" i="1" s="1"/>
  <c r="E15" i="1"/>
  <c r="F15" i="1" s="1"/>
  <c r="E14" i="1"/>
  <c r="F14" i="1" s="1"/>
  <c r="E13" i="1"/>
  <c r="F13" i="1" s="1"/>
  <c r="F12" i="1"/>
  <c r="E11" i="1"/>
  <c r="F11" i="1" s="1"/>
  <c r="E10" i="1"/>
  <c r="F10" i="1" s="1"/>
  <c r="E9" i="1"/>
  <c r="F82" i="1" l="1"/>
  <c r="E74" i="1"/>
  <c r="E104" i="1"/>
  <c r="D90" i="1"/>
  <c r="N69" i="1"/>
  <c r="O69" i="1" s="1"/>
  <c r="F90" i="1" s="1"/>
  <c r="E68" i="1"/>
  <c r="F68" i="1" s="1"/>
  <c r="E57" i="1"/>
  <c r="F9" i="1"/>
  <c r="F57" i="1" s="1"/>
  <c r="F62" i="1" s="1"/>
  <c r="F63" i="1" s="1"/>
  <c r="F23" i="1" s="1"/>
  <c r="J23" i="1" s="1"/>
  <c r="F108" i="1"/>
  <c r="F112" i="1" s="1"/>
  <c r="F115" i="1" s="1"/>
  <c r="D74" i="1"/>
  <c r="D83" i="1" s="1"/>
  <c r="D104" i="1"/>
  <c r="F53" i="1"/>
  <c r="E109" i="1"/>
  <c r="F109" i="1" s="1"/>
  <c r="F113" i="1" s="1"/>
  <c r="E79" i="1"/>
  <c r="E105" i="1"/>
  <c r="N68" i="1"/>
  <c r="O68" i="1" s="1"/>
  <c r="D105" i="1"/>
  <c r="D113" i="1" s="1"/>
  <c r="E90" i="1"/>
  <c r="E108" i="1"/>
  <c r="Q109" i="1"/>
  <c r="Q111" i="1" s="1"/>
  <c r="D112" i="1"/>
  <c r="E52" i="1"/>
  <c r="D52" i="1"/>
  <c r="W10" i="6"/>
  <c r="W11" i="6"/>
  <c r="W28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G30" i="6"/>
  <c r="F92" i="1" l="1"/>
  <c r="F93" i="1" s="1"/>
  <c r="F94" i="1" s="1"/>
  <c r="F69" i="1" s="1"/>
  <c r="E83" i="1"/>
  <c r="F26" i="1"/>
  <c r="J26" i="1" s="1"/>
  <c r="F79" i="1"/>
  <c r="F83" i="1" s="1"/>
  <c r="F84" i="1" s="1"/>
  <c r="F67" i="1" s="1"/>
  <c r="E113" i="1"/>
  <c r="E112" i="1"/>
  <c r="D92" i="1"/>
  <c r="D93" i="1" s="1"/>
  <c r="D94" i="1" s="1"/>
  <c r="E62" i="1"/>
  <c r="W12" i="6"/>
  <c r="W15" i="6" s="1"/>
  <c r="E115" i="1" l="1"/>
  <c r="E92" i="1" s="1"/>
  <c r="E93" i="1" s="1"/>
  <c r="F70" i="1"/>
  <c r="F24" i="1" s="1"/>
  <c r="E34" i="1"/>
  <c r="E51" i="1"/>
  <c r="D51" i="1"/>
  <c r="F34" i="1" l="1"/>
  <c r="J34" i="1" s="1"/>
  <c r="I34" i="1"/>
  <c r="F25" i="1"/>
  <c r="J25" i="1" s="1"/>
  <c r="J24" i="1"/>
  <c r="D61" i="1"/>
  <c r="D56" i="1"/>
  <c r="E61" i="1"/>
  <c r="E56" i="1"/>
  <c r="E48" i="1"/>
  <c r="D48" i="1"/>
  <c r="F39" i="1" l="1"/>
  <c r="F28" i="1"/>
  <c r="J28" i="1" s="1"/>
  <c r="E66" i="1"/>
  <c r="D66" i="1"/>
  <c r="D62" i="1"/>
  <c r="F40" i="1" l="1"/>
  <c r="F31" i="1"/>
  <c r="F33" i="1" s="1"/>
  <c r="D73" i="1"/>
  <c r="E73" i="1"/>
  <c r="D63" i="1"/>
  <c r="D23" i="1" s="1"/>
  <c r="H23" i="1" s="1"/>
  <c r="D53" i="1"/>
  <c r="J33" i="1" l="1"/>
  <c r="E4" i="7"/>
  <c r="M4" i="7" s="1"/>
  <c r="J31" i="1"/>
  <c r="F41" i="1"/>
  <c r="F35" i="1"/>
  <c r="J35" i="1" s="1"/>
  <c r="E82" i="1"/>
  <c r="E78" i="1"/>
  <c r="E89" i="1" s="1"/>
  <c r="D82" i="1"/>
  <c r="D78" i="1"/>
  <c r="D89" i="1" s="1"/>
  <c r="E53" i="1"/>
  <c r="E84" i="1"/>
  <c r="E67" i="1" s="1"/>
  <c r="E6" i="7" l="1"/>
  <c r="D26" i="1"/>
  <c r="H26" i="1" s="1"/>
  <c r="D69" i="1"/>
  <c r="D84" i="1"/>
  <c r="M6" i="7" l="1"/>
  <c r="E8" i="7"/>
  <c r="E7" i="7"/>
  <c r="M7" i="7" s="1"/>
  <c r="E94" i="1"/>
  <c r="E69" i="1" s="1"/>
  <c r="E70" i="1" s="1"/>
  <c r="D67" i="1"/>
  <c r="D70" i="1" s="1"/>
  <c r="E9" i="7" l="1"/>
  <c r="M9" i="7" s="1"/>
  <c r="M8" i="7"/>
  <c r="E24" i="1"/>
  <c r="I24" i="1" s="1"/>
  <c r="D24" i="1" l="1"/>
  <c r="H24" i="1" s="1"/>
  <c r="D25" i="1" l="1"/>
  <c r="D28" i="1" l="1"/>
  <c r="H25" i="1"/>
  <c r="D39" i="1"/>
  <c r="E63" i="1"/>
  <c r="E23" i="1" s="1"/>
  <c r="I23" i="1" s="1"/>
  <c r="D40" i="1" l="1"/>
  <c r="H28" i="1"/>
  <c r="E25" i="1"/>
  <c r="I25" i="1" s="1"/>
  <c r="E26" i="1"/>
  <c r="I26" i="1" s="1"/>
  <c r="D30" i="1"/>
  <c r="D31" i="1" l="1"/>
  <c r="H30" i="1"/>
  <c r="D33" i="1"/>
  <c r="H33" i="1" s="1"/>
  <c r="H31" i="1"/>
  <c r="E28" i="1"/>
  <c r="E39" i="1"/>
  <c r="C4" i="7"/>
  <c r="K4" i="7" s="1"/>
  <c r="E30" i="1"/>
  <c r="I30" i="1" s="1"/>
  <c r="D35" i="1" l="1"/>
  <c r="H35" i="1" s="1"/>
  <c r="D41" i="1"/>
  <c r="E40" i="1"/>
  <c r="I28" i="1"/>
  <c r="E31" i="1"/>
  <c r="C6" i="7"/>
  <c r="E33" i="1" l="1"/>
  <c r="I4" i="1" s="1"/>
  <c r="I31" i="1"/>
  <c r="C7" i="7"/>
  <c r="K7" i="7" s="1"/>
  <c r="K6" i="7"/>
  <c r="E35" i="1" l="1"/>
  <c r="E41" i="1"/>
  <c r="D4" i="7"/>
  <c r="C21" i="7" s="1"/>
  <c r="I33" i="1"/>
  <c r="I35" i="1" l="1"/>
  <c r="D21" i="7"/>
  <c r="C32" i="7"/>
  <c r="E32" i="7" s="1"/>
  <c r="D6" i="7"/>
  <c r="L4" i="7"/>
  <c r="L6" i="7" l="1"/>
  <c r="D7" i="7"/>
  <c r="L7" i="7" l="1"/>
  <c r="E10" i="7"/>
  <c r="C31" i="7" l="1"/>
  <c r="M10" i="7"/>
  <c r="C34" i="7" l="1"/>
  <c r="E34" i="7" s="1"/>
  <c r="E31" i="7"/>
</calcChain>
</file>

<file path=xl/sharedStrings.xml><?xml version="1.0" encoding="utf-8"?>
<sst xmlns="http://schemas.openxmlformats.org/spreadsheetml/2006/main" count="296" uniqueCount="154">
  <si>
    <t>فروش</t>
  </si>
  <si>
    <t>بهای تمام شده کالای فروش رفته</t>
  </si>
  <si>
    <t>سود (زیان) ناخالص</t>
  </si>
  <si>
    <t>هزینه های عمومی, اداری و تشکیلاتی</t>
  </si>
  <si>
    <t>خالص سایر درامدها (هزینه ها) ی عملیاتی</t>
  </si>
  <si>
    <t>سود (زیان) عملیاتی</t>
  </si>
  <si>
    <t>هزینه های مالی</t>
  </si>
  <si>
    <t>خالص سایر درامدها و هزینه های غیرعملیاتی</t>
  </si>
  <si>
    <t>سود (زیان) خالص عملیات در حال تداوم قبل از مالیات</t>
  </si>
  <si>
    <t>مالیات</t>
  </si>
  <si>
    <t>سود (زیان) خالص</t>
  </si>
  <si>
    <t>سود هر سهم پس از کسر مالیات</t>
  </si>
  <si>
    <t>سرمایه</t>
  </si>
  <si>
    <t>مقدار تولید</t>
  </si>
  <si>
    <t>آهن اسفنجی</t>
  </si>
  <si>
    <t>تن</t>
  </si>
  <si>
    <t>بریکت</t>
  </si>
  <si>
    <t>محصولات فرعی</t>
  </si>
  <si>
    <t>ریال</t>
  </si>
  <si>
    <t>جمع</t>
  </si>
  <si>
    <t>مقدار فروش</t>
  </si>
  <si>
    <t>مبلغ فروش</t>
  </si>
  <si>
    <t>میلیون ریال</t>
  </si>
  <si>
    <t>نرخ فروش</t>
  </si>
  <si>
    <t>بهای تمام شده</t>
  </si>
  <si>
    <t>مواد مستقیم مصرفی</t>
  </si>
  <si>
    <t>دستمزد مستقیم تولید</t>
  </si>
  <si>
    <t>سربار تولید</t>
  </si>
  <si>
    <t>شرح</t>
  </si>
  <si>
    <t>مبلغ مصرف طی دوره</t>
  </si>
  <si>
    <t>واحد</t>
  </si>
  <si>
    <t>گندله</t>
  </si>
  <si>
    <t>مقدار</t>
  </si>
  <si>
    <t>نرخ</t>
  </si>
  <si>
    <t>ريال</t>
  </si>
  <si>
    <t>هزینه حقوق و دستمزد</t>
  </si>
  <si>
    <t>هزینه استهلاک</t>
  </si>
  <si>
    <t>هزینه انرژی (آب، برق، گاز و سوخت)</t>
  </si>
  <si>
    <t>سایر هزینه ها</t>
  </si>
  <si>
    <t>سربار ساخت</t>
  </si>
  <si>
    <t>تن/ ریال</t>
  </si>
  <si>
    <t>دلاری شمش فخوز</t>
  </si>
  <si>
    <t>نرخ خرید گندله- درصدی از فخوز</t>
  </si>
  <si>
    <t>نرخ فروش آهن اسفنجی- درصدی از فخوز</t>
  </si>
  <si>
    <t>نرخ دلار</t>
  </si>
  <si>
    <t>-</t>
  </si>
  <si>
    <t>نرخ تورم</t>
  </si>
  <si>
    <t>نرخ دستمزد</t>
  </si>
  <si>
    <t>نرخ انرژی</t>
  </si>
  <si>
    <t>حاشیه سود ناخالص</t>
  </si>
  <si>
    <t>حاشیه سود عملیاتی</t>
  </si>
  <si>
    <t>حاشیه سود خالص</t>
  </si>
  <si>
    <t>مفروضات</t>
  </si>
  <si>
    <t>ماه 1 منتهی به 1400/10</t>
  </si>
  <si>
    <t>ماه 2 منتهی به 1400/11</t>
  </si>
  <si>
    <t>ماه 3 منتهی به 1400/12</t>
  </si>
  <si>
    <t>ماه 4 منتهی به 1401/01</t>
  </si>
  <si>
    <t>ماه 5 منتهی به 1401/02</t>
  </si>
  <si>
    <t>ماه 6 منتهی به 1401/03</t>
  </si>
  <si>
    <t>ماه 7 منتهی به 1401/04</t>
  </si>
  <si>
    <t>ماه 8 منتهی به 1401/05</t>
  </si>
  <si>
    <t>ماه 9 منتهی به 1401/06</t>
  </si>
  <si>
    <t>ماه 10 منتهی به 1401/07</t>
  </si>
  <si>
    <t>ماه 11 منتهی به 1401/08</t>
  </si>
  <si>
    <t>ماه 12 منتهی به 1401/09</t>
  </si>
  <si>
    <t>ماه 1 منتهی به 1401/10</t>
  </si>
  <si>
    <t>ماه 2 منتهی به 1401/11</t>
  </si>
  <si>
    <t>ماه 3 منتهی به 1401/12</t>
  </si>
  <si>
    <t>ماه 4 منتهی به 1402/01</t>
  </si>
  <si>
    <t>قیمت واحد</t>
  </si>
  <si>
    <t>تن / ریال</t>
  </si>
  <si>
    <t>کیلوگرم / ریال</t>
  </si>
  <si>
    <t>ماه 5 منتهی به 1402/02</t>
  </si>
  <si>
    <t>ماه 6 منتهی به 1402/03</t>
  </si>
  <si>
    <t>نرخ شمش فخوز</t>
  </si>
  <si>
    <t>نسبت آهن اسفنجی به شمش فخوز</t>
  </si>
  <si>
    <t xml:space="preserve">شش ماهه اول </t>
  </si>
  <si>
    <t>میانگین شمش فخوز</t>
  </si>
  <si>
    <t>ضریب بهره برداری</t>
  </si>
  <si>
    <t>ضریب مصرف گندله</t>
  </si>
  <si>
    <t xml:space="preserve">پرسنل تولیدی فسبزوار </t>
  </si>
  <si>
    <t xml:space="preserve">پرسنل غیر تولیدی فسبزوار </t>
  </si>
  <si>
    <t>پرسنل تولیدی فطلوع</t>
  </si>
  <si>
    <t>پرسنل غیر تولیدی فطلوع</t>
  </si>
  <si>
    <t>هزینه حقوق ماهانه</t>
  </si>
  <si>
    <t>مخارج انجام شده تا پایان 1402</t>
  </si>
  <si>
    <t xml:space="preserve">مخارج باقیمانده </t>
  </si>
  <si>
    <t>مخارج باقیمانده دلاری</t>
  </si>
  <si>
    <t>مخارج باقیمانده با دلار روز</t>
  </si>
  <si>
    <t>کل هزینه پروژه</t>
  </si>
  <si>
    <t>استهلاک</t>
  </si>
  <si>
    <t>ضریب مصرف</t>
  </si>
  <si>
    <t>مبلغ</t>
  </si>
  <si>
    <t>گاز - مترمکعب</t>
  </si>
  <si>
    <t>برق - مگاوات ساعت</t>
  </si>
  <si>
    <t>نرخ گاز فسبزوار 1404</t>
  </si>
  <si>
    <t>نرخ برق فسبزوار 1404</t>
  </si>
  <si>
    <t>ضریب گاز سوخت</t>
  </si>
  <si>
    <t xml:space="preserve"> ارزش گذاری سهام به روش DDM</t>
  </si>
  <si>
    <t>سود (زیان) خالص (میلیون ریال)</t>
  </si>
  <si>
    <t>درصد تقسیم سود</t>
  </si>
  <si>
    <t>Rf (نرخ بازده بدون ریسک)</t>
  </si>
  <si>
    <t>سود نقدی (میلیون ریال)</t>
  </si>
  <si>
    <t>Rm-Rf (صرف ریسک بازار)</t>
  </si>
  <si>
    <t>ارزش فعلی سود نقدی (میلیون ریال)</t>
  </si>
  <si>
    <t>β (بتا)</t>
  </si>
  <si>
    <t>ارزش نهایی(Terminal Value)</t>
  </si>
  <si>
    <t>k (بازده مورد انتظار)</t>
  </si>
  <si>
    <t>ارزش فعلی نهایی</t>
  </si>
  <si>
    <t>g (نرخ رشد)</t>
  </si>
  <si>
    <t>ارزش شرکت</t>
  </si>
  <si>
    <t>تعداد سهام فسوژ در کاما</t>
  </si>
  <si>
    <t>قیمت هر سهم کاما در تاریخ 1401/02/10</t>
  </si>
  <si>
    <t>سهم فسوژ از ارزش بازار کاما</t>
  </si>
  <si>
    <t>ارزش کل شرکت با احتساب کاما</t>
  </si>
  <si>
    <t xml:space="preserve"> ارزش گذاری سهام به روش p/e</t>
  </si>
  <si>
    <t>میانگین نسبت p/e</t>
  </si>
  <si>
    <t>روش</t>
  </si>
  <si>
    <t>وزن</t>
  </si>
  <si>
    <t>DDM</t>
  </si>
  <si>
    <t>P/E</t>
  </si>
  <si>
    <t>ارزشگذاری نهایی</t>
  </si>
  <si>
    <t>کارشناسی 1405</t>
  </si>
  <si>
    <t>کارشناسی 1406</t>
  </si>
  <si>
    <t>ظرفیت تولید فسبزوار - تن</t>
  </si>
  <si>
    <t>ارزش بازار فسبزوار - میلیون ریال</t>
  </si>
  <si>
    <t>ظرفیت تولید فطلوع - تن</t>
  </si>
  <si>
    <t>ارزشگذاری بر اساس شرکت مشابه</t>
  </si>
  <si>
    <t>شرکت مشابه</t>
  </si>
  <si>
    <t>نرخ گاز خوراک - دلار</t>
  </si>
  <si>
    <t>ارزش کل شرکت (تنزیل شده)</t>
  </si>
  <si>
    <t>تعداد ماه های فعالیت</t>
  </si>
  <si>
    <t>ظرفیت اسمی در سال</t>
  </si>
  <si>
    <t>ظرفیت اسمی در ماه</t>
  </si>
  <si>
    <t>متوسط حقوق سالانه واحد اداری 1404</t>
  </si>
  <si>
    <t>متوسط حقوق سالانه واحد تولیدی 1404</t>
  </si>
  <si>
    <t>کارشناسی 1407</t>
  </si>
  <si>
    <t>ارزش فعلی فطلوع - میلیون ریال</t>
  </si>
  <si>
    <t>سال 1405</t>
  </si>
  <si>
    <t>سال 1406</t>
  </si>
  <si>
    <t>سال 1407</t>
  </si>
  <si>
    <t>2.2 همت تزریق عمده میکنه</t>
  </si>
  <si>
    <t xml:space="preserve">مزیت </t>
  </si>
  <si>
    <t>نزدیکی به گندله</t>
  </si>
  <si>
    <t>حمل و نقل ریلی</t>
  </si>
  <si>
    <t xml:space="preserve">1 سوم بریکت </t>
  </si>
  <si>
    <t>پذیره نویسی با ارزش جایگزینی</t>
  </si>
  <si>
    <t xml:space="preserve">بازگشایی سریع نماد </t>
  </si>
  <si>
    <t>عکس ارزش گذاری</t>
  </si>
  <si>
    <t>تفاهم نامه با گهر زمین و گل گهر</t>
  </si>
  <si>
    <t>ارزش بازار حسیر و حپرتو</t>
  </si>
  <si>
    <t>آب- متر مکعب</t>
  </si>
  <si>
    <t>نرخ گاز</t>
  </si>
  <si>
    <t>مقدار تولید آهن اسفنجی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</si>
</sst>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#,##0_ ;[Red]\-#,##0\ "/>
    <numFmt numFmtId="166" formatCode="#,##0.0_ ;[Red]\-#,##0.0\ "/>
    <numFmt numFmtId="167" formatCode="_-* #,##0_-;\-* #,##0_-;_-* &quot;-&quot;??_-;_-@_-"/>
    <numFmt numFmtId="168" formatCode="#,##0.00_ ;[Red]\-#,##0.00\ "/>
    <numFmt numFmtId="169" formatCode="0_ ;[Red]\-0\ "/>
    <numFmt numFmtId="170" formatCode="#,##0.000_ ;[Red]\-#,##0.000\ "/>
    <numFmt numFmtId="171" formatCode="#,##0.0;[Red]\(#,##0.0\);\-"/>
    <numFmt numFmtId="172" formatCode="#,##0.0"/>
  </numFmts>
  <fonts count="33" x14ac:knownFonts="1">
    <font>
      <sz val="11"/>
      <color rgb="FF333333"/>
      <name val="Calibri"/>
    </font>
    <font>
      <sz val="12"/>
      <color theme="1"/>
      <name val="B Mitra"/>
      <family val="2"/>
      <charset val="178"/>
    </font>
    <font>
      <sz val="11"/>
      <color rgb="FF333333"/>
      <name val="Calibri"/>
      <family val="2"/>
    </font>
    <font>
      <b/>
      <sz val="12"/>
      <color theme="1"/>
      <name val="B Nazanin"/>
      <charset val="178"/>
    </font>
    <font>
      <sz val="11"/>
      <color theme="1"/>
      <name val="B Nazanin"/>
      <charset val="178"/>
    </font>
    <font>
      <sz val="11"/>
      <color theme="1"/>
      <name val="B Mitra"/>
      <charset val="178"/>
    </font>
    <font>
      <b/>
      <sz val="11"/>
      <color theme="1"/>
      <name val="B Mitra"/>
      <charset val="178"/>
    </font>
    <font>
      <b/>
      <sz val="12"/>
      <color rgb="FF333333"/>
      <name val="B Nazanin"/>
      <charset val="178"/>
    </font>
    <font>
      <sz val="12"/>
      <color rgb="FF333333"/>
      <name val="B Nazanin"/>
      <charset val="178"/>
    </font>
    <font>
      <sz val="11"/>
      <color rgb="FF333333"/>
      <name val="Calibri"/>
      <family val="2"/>
    </font>
    <font>
      <sz val="11"/>
      <color rgb="FF333333"/>
      <name val="B Nazanin"/>
      <charset val="178"/>
    </font>
    <font>
      <sz val="14"/>
      <color theme="1"/>
      <name val="B Mitra"/>
      <charset val="178"/>
    </font>
    <font>
      <sz val="12"/>
      <color theme="1"/>
      <name val="B Mitra"/>
      <charset val="178"/>
    </font>
    <font>
      <sz val="11"/>
      <color theme="1"/>
      <name val="Arial"/>
      <family val="2"/>
      <scheme val="minor"/>
    </font>
    <font>
      <sz val="12"/>
      <color rgb="FF333333"/>
      <name val="Calibri Bold"/>
    </font>
    <font>
      <sz val="12"/>
      <name val="Calibri Bold"/>
    </font>
    <font>
      <sz val="11"/>
      <color rgb="FF333333"/>
      <name val="Calibri Bold"/>
    </font>
    <font>
      <b/>
      <sz val="12"/>
      <color rgb="FF3F3F3F"/>
      <name val="B Mitra"/>
      <family val="2"/>
      <charset val="178"/>
    </font>
    <font>
      <b/>
      <sz val="10"/>
      <color theme="1"/>
      <name val="B Nazanin"/>
      <charset val="178"/>
    </font>
    <font>
      <b/>
      <sz val="14"/>
      <color rgb="FF3F3F3F"/>
      <name val="B Mitra"/>
      <family val="2"/>
      <charset val="178"/>
    </font>
    <font>
      <b/>
      <sz val="12"/>
      <color theme="1"/>
      <name val="B Mitra"/>
      <charset val="178"/>
    </font>
    <font>
      <sz val="11"/>
      <color theme="1"/>
      <name val="Calibri"/>
      <family val="2"/>
    </font>
    <font>
      <sz val="8"/>
      <name val="Calibri"/>
      <family val="2"/>
    </font>
    <font>
      <b/>
      <sz val="12"/>
      <color theme="1"/>
      <name val="B Nazanin"/>
      <family val="2"/>
      <charset val="178"/>
    </font>
    <font>
      <b/>
      <sz val="11"/>
      <color theme="1"/>
      <name val="B Nazanin"/>
      <charset val="178"/>
    </font>
    <font>
      <sz val="12"/>
      <color theme="1"/>
      <name val="B Nazanin"/>
      <charset val="178"/>
    </font>
    <font>
      <b/>
      <sz val="12"/>
      <name val="B Nazanin"/>
      <charset val="178"/>
    </font>
    <font>
      <b/>
      <sz val="14"/>
      <color theme="0"/>
      <name val="B Nazanin"/>
      <charset val="178"/>
    </font>
    <font>
      <b/>
      <sz val="12"/>
      <color theme="1"/>
      <name val="B Titr"/>
      <charset val="178"/>
    </font>
    <font>
      <sz val="8"/>
      <name val="Calibri"/>
    </font>
    <font>
      <sz val="11"/>
      <color rgb="FF333333"/>
      <name val="Calibri"/>
    </font>
    <font>
      <b/>
      <sz val="16"/>
      <color rgb="FF3F3F3F"/>
      <name val="B Mitra"/>
      <family val="2"/>
      <charset val="178"/>
    </font>
    <font>
      <b/>
      <sz val="11"/>
      <color rgb="FF333333"/>
      <name val="B Nazanin"/>
      <charset val="178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2F2F2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</patternFill>
    </fill>
  </fills>
  <borders count="58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333333"/>
      </bottom>
      <diagonal/>
    </border>
    <border>
      <left style="medium">
        <color indexed="64"/>
      </left>
      <right/>
      <top/>
      <bottom style="medium">
        <color rgb="FF333333"/>
      </bottom>
      <diagonal/>
    </border>
    <border>
      <left/>
      <right style="medium">
        <color indexed="64"/>
      </right>
      <top/>
      <bottom style="medium">
        <color rgb="FF333333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1">
    <xf numFmtId="0" fontId="0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" fillId="0" borderId="1"/>
    <xf numFmtId="0" fontId="17" fillId="11" borderId="20" applyNumberFormat="0" applyAlignment="0" applyProtection="0"/>
    <xf numFmtId="0" fontId="1" fillId="12" borderId="0" applyNumberFormat="0" applyBorder="0" applyAlignment="0" applyProtection="0"/>
    <xf numFmtId="0" fontId="2" fillId="0" borderId="1"/>
    <xf numFmtId="9" fontId="2" fillId="0" borderId="1" applyFont="0" applyFill="0" applyBorder="0" applyAlignment="0" applyProtection="0"/>
    <xf numFmtId="0" fontId="23" fillId="0" borderId="22" applyNumberFormat="0" applyFill="0" applyAlignment="0" applyProtection="0"/>
    <xf numFmtId="0" fontId="13" fillId="0" borderId="1"/>
    <xf numFmtId="0" fontId="30" fillId="21" borderId="49" applyNumberFormat="0" applyFont="0" applyAlignment="0" applyProtection="0"/>
  </cellStyleXfs>
  <cellXfs count="183">
    <xf numFmtId="0" fontId="0" fillId="0" borderId="0" xfId="0"/>
    <xf numFmtId="165" fontId="3" fillId="2" borderId="1" xfId="0" applyNumberFormat="1" applyFont="1" applyFill="1" applyBorder="1" applyAlignment="1">
      <alignment horizontal="center" vertical="center" wrapText="1" readingOrder="2"/>
    </xf>
    <xf numFmtId="165" fontId="4" fillId="3" borderId="2" xfId="0" applyNumberFormat="1" applyFont="1" applyFill="1" applyBorder="1" applyAlignment="1">
      <alignment horizontal="center" vertical="center"/>
    </xf>
    <xf numFmtId="165" fontId="4" fillId="4" borderId="2" xfId="0" applyNumberFormat="1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65" fontId="0" fillId="0" borderId="0" xfId="0" applyNumberFormat="1"/>
    <xf numFmtId="165" fontId="0" fillId="0" borderId="0" xfId="0" applyNumberFormat="1" applyAlignment="1">
      <alignment readingOrder="2"/>
    </xf>
    <xf numFmtId="165" fontId="0" fillId="0" borderId="0" xfId="0" applyNumberFormat="1" applyAlignment="1">
      <alignment horizontal="center"/>
    </xf>
    <xf numFmtId="165" fontId="5" fillId="3" borderId="2" xfId="0" applyNumberFormat="1" applyFont="1" applyFill="1" applyBorder="1" applyAlignment="1">
      <alignment horizontal="center" vertical="center" wrapText="1"/>
    </xf>
    <xf numFmtId="165" fontId="6" fillId="4" borderId="2" xfId="0" applyNumberFormat="1" applyFont="1" applyFill="1" applyBorder="1" applyAlignment="1">
      <alignment horizontal="center" vertical="center" wrapText="1"/>
    </xf>
    <xf numFmtId="165" fontId="7" fillId="6" borderId="2" xfId="0" applyNumberFormat="1" applyFont="1" applyFill="1" applyBorder="1" applyAlignment="1">
      <alignment horizontal="center" vertical="center"/>
    </xf>
    <xf numFmtId="165" fontId="8" fillId="3" borderId="2" xfId="0" applyNumberFormat="1" applyFont="1" applyFill="1" applyBorder="1" applyAlignment="1">
      <alignment horizontal="center" vertical="center"/>
    </xf>
    <xf numFmtId="165" fontId="8" fillId="5" borderId="2" xfId="0" applyNumberFormat="1" applyFont="1" applyFill="1" applyBorder="1" applyAlignment="1">
      <alignment horizontal="center" vertical="center"/>
    </xf>
    <xf numFmtId="165" fontId="7" fillId="4" borderId="2" xfId="0" applyNumberFormat="1" applyFont="1" applyFill="1" applyBorder="1" applyAlignment="1">
      <alignment horizontal="center" vertical="center"/>
    </xf>
    <xf numFmtId="166" fontId="0" fillId="0" borderId="0" xfId="0" applyNumberFormat="1"/>
    <xf numFmtId="9" fontId="0" fillId="0" borderId="0" xfId="2" applyFont="1" applyAlignment="1">
      <alignment horizontal="center"/>
    </xf>
    <xf numFmtId="9" fontId="10" fillId="0" borderId="0" xfId="2" applyFont="1" applyAlignment="1">
      <alignment horizontal="center"/>
    </xf>
    <xf numFmtId="165" fontId="2" fillId="0" borderId="0" xfId="0" applyNumberFormat="1" applyFont="1" applyAlignment="1">
      <alignment horizontal="center"/>
    </xf>
    <xf numFmtId="9" fontId="0" fillId="0" borderId="0" xfId="2" applyFont="1"/>
    <xf numFmtId="167" fontId="15" fillId="7" borderId="14" xfId="1" applyNumberFormat="1" applyFont="1" applyFill="1" applyBorder="1" applyAlignment="1">
      <alignment horizontal="left" vertical="top"/>
    </xf>
    <xf numFmtId="167" fontId="14" fillId="7" borderId="14" xfId="1" applyNumberFormat="1" applyFont="1" applyFill="1" applyBorder="1" applyAlignment="1">
      <alignment horizontal="right" vertical="top" wrapText="1"/>
    </xf>
    <xf numFmtId="167" fontId="14" fillId="7" borderId="15" xfId="1" applyNumberFormat="1" applyFont="1" applyFill="1" applyBorder="1" applyAlignment="1">
      <alignment horizontal="right" vertical="top" wrapText="1"/>
    </xf>
    <xf numFmtId="167" fontId="14" fillId="7" borderId="16" xfId="1" applyNumberFormat="1" applyFont="1" applyFill="1" applyBorder="1" applyAlignment="1">
      <alignment horizontal="right" vertical="top" wrapText="1"/>
    </xf>
    <xf numFmtId="167" fontId="0" fillId="0" borderId="0" xfId="1" applyNumberFormat="1" applyFont="1"/>
    <xf numFmtId="167" fontId="0" fillId="10" borderId="1" xfId="1" applyNumberFormat="1" applyFont="1" applyFill="1" applyBorder="1" applyAlignment="1">
      <alignment horizontal="left" vertical="center"/>
    </xf>
    <xf numFmtId="167" fontId="0" fillId="10" borderId="1" xfId="1" applyNumberFormat="1" applyFont="1" applyFill="1" applyBorder="1" applyAlignment="1">
      <alignment horizontal="right" vertical="center"/>
    </xf>
    <xf numFmtId="167" fontId="0" fillId="10" borderId="11" xfId="1" applyNumberFormat="1" applyFont="1" applyFill="1" applyBorder="1" applyAlignment="1">
      <alignment horizontal="right" vertical="center"/>
    </xf>
    <xf numFmtId="167" fontId="0" fillId="10" borderId="8" xfId="1" applyNumberFormat="1" applyFont="1" applyFill="1" applyBorder="1" applyAlignment="1">
      <alignment horizontal="right" vertical="center"/>
    </xf>
    <xf numFmtId="167" fontId="0" fillId="7" borderId="1" xfId="1" applyNumberFormat="1" applyFont="1" applyFill="1" applyBorder="1" applyAlignment="1">
      <alignment horizontal="left" vertical="center"/>
    </xf>
    <xf numFmtId="167" fontId="0" fillId="7" borderId="1" xfId="1" applyNumberFormat="1" applyFont="1" applyFill="1" applyBorder="1" applyAlignment="1">
      <alignment horizontal="right" vertical="center"/>
    </xf>
    <xf numFmtId="167" fontId="0" fillId="7" borderId="11" xfId="1" applyNumberFormat="1" applyFont="1" applyFill="1" applyBorder="1" applyAlignment="1">
      <alignment horizontal="right" vertical="center"/>
    </xf>
    <xf numFmtId="167" fontId="0" fillId="7" borderId="8" xfId="1" applyNumberFormat="1" applyFont="1" applyFill="1" applyBorder="1" applyAlignment="1">
      <alignment horizontal="right" vertical="center"/>
    </xf>
    <xf numFmtId="167" fontId="16" fillId="7" borderId="17" xfId="1" applyNumberFormat="1" applyFont="1" applyFill="1" applyBorder="1" applyAlignment="1">
      <alignment horizontal="left" vertical="center"/>
    </xf>
    <xf numFmtId="167" fontId="16" fillId="7" borderId="17" xfId="1" applyNumberFormat="1" applyFont="1" applyFill="1" applyBorder="1" applyAlignment="1">
      <alignment horizontal="right" vertical="center"/>
    </xf>
    <xf numFmtId="167" fontId="16" fillId="7" borderId="18" xfId="1" applyNumberFormat="1" applyFont="1" applyFill="1" applyBorder="1" applyAlignment="1">
      <alignment horizontal="right" vertical="center"/>
    </xf>
    <xf numFmtId="167" fontId="16" fillId="7" borderId="19" xfId="1" applyNumberFormat="1" applyFont="1" applyFill="1" applyBorder="1" applyAlignment="1">
      <alignment horizontal="right" vertical="center"/>
    </xf>
    <xf numFmtId="167" fontId="0" fillId="0" borderId="11" xfId="1" applyNumberFormat="1" applyFont="1" applyBorder="1"/>
    <xf numFmtId="167" fontId="0" fillId="0" borderId="1" xfId="1" applyNumberFormat="1" applyFont="1" applyBorder="1"/>
    <xf numFmtId="167" fontId="0" fillId="0" borderId="8" xfId="1" applyNumberFormat="1" applyFont="1" applyBorder="1"/>
    <xf numFmtId="0" fontId="14" fillId="7" borderId="14" xfId="0" applyFont="1" applyFill="1" applyBorder="1" applyAlignment="1">
      <alignment horizontal="right" vertical="top" wrapText="1"/>
    </xf>
    <xf numFmtId="0" fontId="0" fillId="10" borderId="1" xfId="0" applyFill="1" applyBorder="1" applyAlignment="1">
      <alignment horizontal="right" vertical="center"/>
    </xf>
    <xf numFmtId="167" fontId="18" fillId="13" borderId="1" xfId="1" applyNumberFormat="1" applyFont="1" applyFill="1" applyBorder="1"/>
    <xf numFmtId="167" fontId="18" fillId="13" borderId="8" xfId="1" applyNumberFormat="1" applyFont="1" applyFill="1" applyBorder="1"/>
    <xf numFmtId="167" fontId="18" fillId="13" borderId="11" xfId="1" applyNumberFormat="1" applyFont="1" applyFill="1" applyBorder="1"/>
    <xf numFmtId="167" fontId="18" fillId="13" borderId="0" xfId="1" applyNumberFormat="1" applyFont="1" applyFill="1"/>
    <xf numFmtId="9" fontId="19" fillId="11" borderId="20" xfId="4" applyNumberFormat="1" applyFont="1"/>
    <xf numFmtId="167" fontId="10" fillId="0" borderId="10" xfId="1" applyNumberFormat="1" applyFont="1" applyBorder="1" applyAlignment="1">
      <alignment horizontal="center"/>
    </xf>
    <xf numFmtId="167" fontId="10" fillId="0" borderId="7" xfId="1" applyNumberFormat="1" applyFont="1" applyBorder="1" applyAlignment="1">
      <alignment horizontal="center"/>
    </xf>
    <xf numFmtId="167" fontId="10" fillId="0" borderId="11" xfId="1" applyNumberFormat="1" applyFont="1" applyBorder="1" applyAlignment="1">
      <alignment horizontal="center"/>
    </xf>
    <xf numFmtId="167" fontId="10" fillId="0" borderId="8" xfId="1" applyNumberFormat="1" applyFont="1" applyBorder="1" applyAlignment="1">
      <alignment horizontal="center"/>
    </xf>
    <xf numFmtId="9" fontId="10" fillId="0" borderId="12" xfId="2" applyFont="1" applyBorder="1" applyAlignment="1">
      <alignment horizontal="center"/>
    </xf>
    <xf numFmtId="167" fontId="10" fillId="0" borderId="9" xfId="1" applyNumberFormat="1" applyFont="1" applyBorder="1" applyAlignment="1">
      <alignment horizontal="center"/>
    </xf>
    <xf numFmtId="0" fontId="21" fillId="0" borderId="0" xfId="0" applyFont="1"/>
    <xf numFmtId="9" fontId="12" fillId="8" borderId="4" xfId="2" applyFont="1" applyFill="1" applyBorder="1" applyAlignment="1">
      <alignment horizontal="center"/>
    </xf>
    <xf numFmtId="9" fontId="12" fillId="8" borderId="2" xfId="2" applyFont="1" applyFill="1" applyBorder="1" applyAlignment="1">
      <alignment horizontal="center"/>
    </xf>
    <xf numFmtId="9" fontId="12" fillId="8" borderId="13" xfId="2" applyFont="1" applyFill="1" applyBorder="1" applyAlignment="1">
      <alignment horizontal="center"/>
    </xf>
    <xf numFmtId="165" fontId="8" fillId="3" borderId="23" xfId="0" applyNumberFormat="1" applyFont="1" applyFill="1" applyBorder="1" applyAlignment="1">
      <alignment horizontal="center" vertical="center"/>
    </xf>
    <xf numFmtId="165" fontId="8" fillId="5" borderId="23" xfId="0" applyNumberFormat="1" applyFont="1" applyFill="1" applyBorder="1" applyAlignment="1">
      <alignment horizontal="center" vertical="center"/>
    </xf>
    <xf numFmtId="165" fontId="7" fillId="6" borderId="23" xfId="0" applyNumberFormat="1" applyFont="1" applyFill="1" applyBorder="1" applyAlignment="1">
      <alignment horizontal="center" vertical="center"/>
    </xf>
    <xf numFmtId="165" fontId="4" fillId="0" borderId="0" xfId="0" applyNumberFormat="1" applyFont="1"/>
    <xf numFmtId="9" fontId="4" fillId="0" borderId="0" xfId="2" applyFont="1" applyAlignment="1">
      <alignment horizontal="center"/>
    </xf>
    <xf numFmtId="165" fontId="8" fillId="3" borderId="25" xfId="0" applyNumberFormat="1" applyFont="1" applyFill="1" applyBorder="1" applyAlignment="1">
      <alignment horizontal="center" vertical="center"/>
    </xf>
    <xf numFmtId="165" fontId="8" fillId="5" borderId="25" xfId="0" applyNumberFormat="1" applyFont="1" applyFill="1" applyBorder="1" applyAlignment="1">
      <alignment horizontal="center" vertical="center"/>
    </xf>
    <xf numFmtId="165" fontId="7" fillId="6" borderId="25" xfId="0" applyNumberFormat="1" applyFont="1" applyFill="1" applyBorder="1" applyAlignment="1">
      <alignment horizontal="center" vertical="center"/>
    </xf>
    <xf numFmtId="165" fontId="3" fillId="2" borderId="26" xfId="0" applyNumberFormat="1" applyFont="1" applyFill="1" applyBorder="1" applyAlignment="1">
      <alignment horizontal="center" vertical="center" wrapText="1" readingOrder="2"/>
    </xf>
    <xf numFmtId="165" fontId="3" fillId="2" borderId="17" xfId="0" applyNumberFormat="1" applyFont="1" applyFill="1" applyBorder="1" applyAlignment="1">
      <alignment horizontal="center" vertical="center" wrapText="1" readingOrder="2"/>
    </xf>
    <xf numFmtId="165" fontId="3" fillId="8" borderId="17" xfId="0" applyNumberFormat="1" applyFont="1" applyFill="1" applyBorder="1" applyAlignment="1">
      <alignment horizontal="center" vertical="center" wrapText="1" readingOrder="2"/>
    </xf>
    <xf numFmtId="169" fontId="3" fillId="8" borderId="1" xfId="0" applyNumberFormat="1" applyFont="1" applyFill="1" applyBorder="1" applyAlignment="1">
      <alignment horizontal="center" vertical="center" wrapText="1" readingOrder="2"/>
    </xf>
    <xf numFmtId="168" fontId="0" fillId="0" borderId="0" xfId="0" applyNumberFormat="1"/>
    <xf numFmtId="165" fontId="0" fillId="15" borderId="23" xfId="0" applyNumberFormat="1" applyFill="1" applyBorder="1" applyAlignment="1">
      <alignment horizontal="center"/>
    </xf>
    <xf numFmtId="165" fontId="0" fillId="15" borderId="24" xfId="0" applyNumberFormat="1" applyFill="1" applyBorder="1" applyAlignment="1">
      <alignment horizontal="center"/>
    </xf>
    <xf numFmtId="166" fontId="0" fillId="15" borderId="25" xfId="0" applyNumberFormat="1" applyFill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5" fontId="2" fillId="0" borderId="0" xfId="0" applyNumberFormat="1" applyFont="1"/>
    <xf numFmtId="169" fontId="0" fillId="0" borderId="26" xfId="0" applyNumberFormat="1" applyBorder="1" applyAlignment="1">
      <alignment horizontal="center" vertical="center"/>
    </xf>
    <xf numFmtId="169" fontId="0" fillId="0" borderId="27" xfId="0" applyNumberFormat="1" applyBorder="1" applyAlignment="1">
      <alignment horizontal="center" vertical="center"/>
    </xf>
    <xf numFmtId="165" fontId="0" fillId="0" borderId="28" xfId="0" applyNumberFormat="1" applyBorder="1"/>
    <xf numFmtId="165" fontId="0" fillId="0" borderId="29" xfId="0" applyNumberFormat="1" applyBorder="1"/>
    <xf numFmtId="165" fontId="0" fillId="0" borderId="30" xfId="0" applyNumberFormat="1" applyBorder="1"/>
    <xf numFmtId="165" fontId="4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8" fontId="4" fillId="3" borderId="2" xfId="0" applyNumberFormat="1" applyFont="1" applyFill="1" applyBorder="1" applyAlignment="1">
      <alignment horizontal="center" vertical="center"/>
    </xf>
    <xf numFmtId="165" fontId="4" fillId="16" borderId="2" xfId="0" applyNumberFormat="1" applyFont="1" applyFill="1" applyBorder="1" applyAlignment="1">
      <alignment horizontal="center" vertical="center"/>
    </xf>
    <xf numFmtId="165" fontId="24" fillId="17" borderId="2" xfId="0" applyNumberFormat="1" applyFont="1" applyFill="1" applyBorder="1" applyAlignment="1">
      <alignment horizontal="center" vertical="center"/>
    </xf>
    <xf numFmtId="170" fontId="0" fillId="0" borderId="0" xfId="0" applyNumberFormat="1"/>
    <xf numFmtId="0" fontId="3" fillId="14" borderId="23" xfId="8" applyFont="1" applyFill="1" applyBorder="1" applyAlignment="1">
      <alignment horizontal="center"/>
    </xf>
    <xf numFmtId="0" fontId="3" fillId="14" borderId="24" xfId="8" applyFont="1" applyFill="1" applyBorder="1" applyAlignment="1">
      <alignment horizontal="center"/>
    </xf>
    <xf numFmtId="0" fontId="3" fillId="14" borderId="24" xfId="8" applyFont="1" applyFill="1" applyBorder="1" applyAlignment="1">
      <alignment horizontal="center" readingOrder="2"/>
    </xf>
    <xf numFmtId="167" fontId="10" fillId="3" borderId="30" xfId="1" applyNumberFormat="1" applyFont="1" applyFill="1" applyBorder="1" applyAlignment="1">
      <alignment horizontal="center"/>
    </xf>
    <xf numFmtId="165" fontId="10" fillId="3" borderId="21" xfId="1" applyNumberFormat="1" applyFont="1" applyFill="1" applyBorder="1" applyAlignment="1">
      <alignment horizontal="center"/>
    </xf>
    <xf numFmtId="167" fontId="10" fillId="3" borderId="28" xfId="1" applyNumberFormat="1" applyFont="1" applyFill="1" applyBorder="1" applyAlignment="1">
      <alignment horizontal="center"/>
    </xf>
    <xf numFmtId="165" fontId="10" fillId="3" borderId="1" xfId="1" applyNumberFormat="1" applyFont="1" applyFill="1" applyBorder="1" applyAlignment="1">
      <alignment horizontal="center"/>
    </xf>
    <xf numFmtId="9" fontId="10" fillId="3" borderId="1" xfId="2" applyFont="1" applyFill="1" applyBorder="1" applyAlignment="1">
      <alignment horizontal="center"/>
    </xf>
    <xf numFmtId="167" fontId="10" fillId="3" borderId="26" xfId="1" applyNumberFormat="1" applyFont="1" applyFill="1" applyBorder="1" applyAlignment="1">
      <alignment horizontal="center"/>
    </xf>
    <xf numFmtId="165" fontId="10" fillId="3" borderId="17" xfId="1" applyNumberFormat="1" applyFont="1" applyFill="1" applyBorder="1" applyAlignment="1">
      <alignment horizontal="center"/>
    </xf>
    <xf numFmtId="9" fontId="10" fillId="3" borderId="21" xfId="2" applyFont="1" applyFill="1" applyBorder="1" applyAlignment="1">
      <alignment horizontal="center"/>
    </xf>
    <xf numFmtId="168" fontId="10" fillId="3" borderId="17" xfId="1" applyNumberFormat="1" applyFont="1" applyFill="1" applyBorder="1" applyAlignment="1">
      <alignment horizontal="center"/>
    </xf>
    <xf numFmtId="9" fontId="10" fillId="3" borderId="17" xfId="2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37" fontId="25" fillId="0" borderId="2" xfId="0" applyNumberFormat="1" applyFont="1" applyBorder="1" applyAlignment="1">
      <alignment horizontal="center" vertical="center" readingOrder="2"/>
    </xf>
    <xf numFmtId="9" fontId="25" fillId="0" borderId="2" xfId="0" applyNumberFormat="1" applyFont="1" applyBorder="1" applyAlignment="1">
      <alignment horizontal="center" vertical="center" readingOrder="2"/>
    </xf>
    <xf numFmtId="37" fontId="3" fillId="0" borderId="2" xfId="0" applyNumberFormat="1" applyFont="1" applyBorder="1" applyAlignment="1">
      <alignment horizontal="center" vertical="center" readingOrder="2"/>
    </xf>
    <xf numFmtId="37" fontId="26" fillId="19" borderId="36" xfId="0" applyNumberFormat="1" applyFont="1" applyFill="1" applyBorder="1" applyAlignment="1">
      <alignment horizontal="center" vertical="center" readingOrder="2"/>
    </xf>
    <xf numFmtId="37" fontId="26" fillId="19" borderId="39" xfId="0" applyNumberFormat="1" applyFont="1" applyFill="1" applyBorder="1" applyAlignment="1">
      <alignment horizontal="center" vertical="center" readingOrder="2"/>
    </xf>
    <xf numFmtId="37" fontId="26" fillId="19" borderId="42" xfId="0" applyNumberFormat="1" applyFont="1" applyFill="1" applyBorder="1" applyAlignment="1">
      <alignment horizontal="center" vertical="center" readingOrder="2"/>
    </xf>
    <xf numFmtId="37" fontId="27" fillId="18" borderId="33" xfId="0" applyNumberFormat="1" applyFont="1" applyFill="1" applyBorder="1" applyAlignment="1">
      <alignment horizontal="center" vertical="center" readingOrder="2"/>
    </xf>
    <xf numFmtId="37" fontId="27" fillId="18" borderId="45" xfId="0" applyNumberFormat="1" applyFont="1" applyFill="1" applyBorder="1" applyAlignment="1">
      <alignment horizontal="center" vertical="center" readingOrder="2"/>
    </xf>
    <xf numFmtId="0" fontId="25" fillId="0" borderId="0" xfId="0" applyFont="1" applyAlignment="1">
      <alignment horizontal="center" vertical="center"/>
    </xf>
    <xf numFmtId="0" fontId="25" fillId="0" borderId="2" xfId="9" applyFont="1" applyBorder="1" applyAlignment="1">
      <alignment horizontal="center" vertical="center"/>
    </xf>
    <xf numFmtId="37" fontId="12" fillId="0" borderId="2" xfId="9" applyNumberFormat="1" applyFont="1" applyBorder="1" applyAlignment="1">
      <alignment horizontal="center" vertical="center" readingOrder="2"/>
    </xf>
    <xf numFmtId="0" fontId="25" fillId="0" borderId="2" xfId="0" applyFont="1" applyBorder="1" applyAlignment="1">
      <alignment horizontal="center" vertical="center" readingOrder="2"/>
    </xf>
    <xf numFmtId="0" fontId="3" fillId="0" borderId="2" xfId="0" applyFont="1" applyBorder="1" applyAlignment="1">
      <alignment horizontal="center" vertical="center" readingOrder="2"/>
    </xf>
    <xf numFmtId="37" fontId="3" fillId="0" borderId="46" xfId="0" applyNumberFormat="1" applyFont="1" applyBorder="1" applyAlignment="1">
      <alignment horizontal="center" vertical="center" readingOrder="2"/>
    </xf>
    <xf numFmtId="37" fontId="26" fillId="20" borderId="2" xfId="0" applyNumberFormat="1" applyFont="1" applyFill="1" applyBorder="1" applyAlignment="1">
      <alignment horizontal="center" vertical="center" readingOrder="2"/>
    </xf>
    <xf numFmtId="0" fontId="26" fillId="20" borderId="2" xfId="0" applyFont="1" applyFill="1" applyBorder="1" applyAlignment="1">
      <alignment horizontal="center" vertical="center"/>
    </xf>
    <xf numFmtId="0" fontId="26" fillId="20" borderId="2" xfId="0" applyFont="1" applyFill="1" applyBorder="1" applyAlignment="1">
      <alignment horizontal="center" vertical="center" wrapText="1" readingOrder="2"/>
    </xf>
    <xf numFmtId="0" fontId="25" fillId="20" borderId="23" xfId="9" applyFont="1" applyFill="1" applyBorder="1" applyAlignment="1">
      <alignment horizontal="center" vertical="center"/>
    </xf>
    <xf numFmtId="0" fontId="25" fillId="20" borderId="24" xfId="9" applyFont="1" applyFill="1" applyBorder="1" applyAlignment="1">
      <alignment horizontal="center" vertical="center"/>
    </xf>
    <xf numFmtId="0" fontId="25" fillId="20" borderId="25" xfId="9" applyFont="1" applyFill="1" applyBorder="1" applyAlignment="1">
      <alignment horizontal="center" vertical="center"/>
    </xf>
    <xf numFmtId="0" fontId="25" fillId="0" borderId="28" xfId="9" applyFont="1" applyBorder="1" applyAlignment="1">
      <alignment horizontal="center" vertical="center"/>
    </xf>
    <xf numFmtId="37" fontId="25" fillId="0" borderId="1" xfId="9" applyNumberFormat="1" applyFont="1" applyBorder="1" applyAlignment="1">
      <alignment horizontal="center" vertical="center"/>
    </xf>
    <xf numFmtId="9" fontId="25" fillId="0" borderId="29" xfId="7" applyFont="1" applyBorder="1" applyAlignment="1">
      <alignment horizontal="center" vertical="center"/>
    </xf>
    <xf numFmtId="0" fontId="3" fillId="20" borderId="30" xfId="9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 readingOrder="2"/>
    </xf>
    <xf numFmtId="9" fontId="3" fillId="0" borderId="2" xfId="7" applyFont="1" applyBorder="1" applyAlignment="1">
      <alignment horizontal="center" vertical="center" readingOrder="2"/>
    </xf>
    <xf numFmtId="39" fontId="3" fillId="0" borderId="2" xfId="0" applyNumberFormat="1" applyFont="1" applyBorder="1" applyAlignment="1">
      <alignment horizontal="center" vertical="center" readingOrder="2"/>
    </xf>
    <xf numFmtId="167" fontId="0" fillId="0" borderId="0" xfId="1" applyNumberFormat="1" applyFont="1" applyAlignment="1">
      <alignment horizontal="center"/>
    </xf>
    <xf numFmtId="165" fontId="0" fillId="14" borderId="0" xfId="0" applyNumberFormat="1" applyFill="1"/>
    <xf numFmtId="165" fontId="8" fillId="4" borderId="25" xfId="0" applyNumberFormat="1" applyFont="1" applyFill="1" applyBorder="1" applyAlignment="1">
      <alignment horizontal="center" vertical="center"/>
    </xf>
    <xf numFmtId="165" fontId="8" fillId="4" borderId="2" xfId="0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9" fontId="3" fillId="0" borderId="2" xfId="7" applyNumberFormat="1" applyFont="1" applyBorder="1" applyAlignment="1">
      <alignment horizontal="center" vertical="center" readingOrder="2"/>
    </xf>
    <xf numFmtId="165" fontId="8" fillId="3" borderId="1" xfId="0" applyNumberFormat="1" applyFont="1" applyFill="1" applyBorder="1" applyAlignment="1">
      <alignment horizontal="center" vertical="center"/>
    </xf>
    <xf numFmtId="3" fontId="6" fillId="9" borderId="56" xfId="3" applyNumberFormat="1" applyFont="1" applyFill="1" applyBorder="1" applyAlignment="1">
      <alignment horizontal="center" vertical="center" readingOrder="2"/>
    </xf>
    <xf numFmtId="4" fontId="6" fillId="9" borderId="54" xfId="1" applyNumberFormat="1" applyFont="1" applyFill="1" applyBorder="1" applyAlignment="1">
      <alignment horizontal="center" vertical="center" readingOrder="2"/>
    </xf>
    <xf numFmtId="171" fontId="12" fillId="0" borderId="2" xfId="9" applyNumberFormat="1" applyFont="1" applyBorder="1" applyAlignment="1">
      <alignment horizontal="center" vertical="center" readingOrder="2"/>
    </xf>
    <xf numFmtId="0" fontId="11" fillId="9" borderId="3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center"/>
    </xf>
    <xf numFmtId="0" fontId="11" fillId="9" borderId="5" xfId="0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/>
    </xf>
    <xf numFmtId="0" fontId="11" fillId="9" borderId="6" xfId="0" applyFont="1" applyFill="1" applyBorder="1" applyAlignment="1">
      <alignment horizontal="center"/>
    </xf>
    <xf numFmtId="0" fontId="11" fillId="9" borderId="13" xfId="0" applyFont="1" applyFill="1" applyBorder="1" applyAlignment="1">
      <alignment horizontal="center"/>
    </xf>
    <xf numFmtId="3" fontId="6" fillId="5" borderId="50" xfId="3" applyNumberFormat="1" applyFont="1" applyFill="1" applyBorder="1" applyAlignment="1">
      <alignment horizontal="center" vertical="center" readingOrder="2"/>
    </xf>
    <xf numFmtId="3" fontId="6" fillId="5" borderId="51" xfId="3" applyNumberFormat="1" applyFont="1" applyFill="1" applyBorder="1" applyAlignment="1">
      <alignment horizontal="center" vertical="center" readingOrder="2"/>
    </xf>
    <xf numFmtId="3" fontId="6" fillId="5" borderId="52" xfId="3" applyNumberFormat="1" applyFont="1" applyFill="1" applyBorder="1" applyAlignment="1">
      <alignment horizontal="center" vertical="center" readingOrder="2"/>
    </xf>
    <xf numFmtId="165" fontId="32" fillId="5" borderId="55" xfId="0" applyNumberFormat="1" applyFont="1" applyFill="1" applyBorder="1" applyAlignment="1">
      <alignment horizontal="center" vertical="center" wrapText="1"/>
    </xf>
    <xf numFmtId="165" fontId="32" fillId="5" borderId="57" xfId="0" applyNumberFormat="1" applyFont="1" applyFill="1" applyBorder="1" applyAlignment="1">
      <alignment horizontal="center" vertical="center" wrapText="1"/>
    </xf>
    <xf numFmtId="165" fontId="32" fillId="5" borderId="45" xfId="0" applyNumberFormat="1" applyFont="1" applyFill="1" applyBorder="1" applyAlignment="1">
      <alignment horizontal="center" vertical="center" wrapText="1"/>
    </xf>
    <xf numFmtId="0" fontId="27" fillId="18" borderId="32" xfId="0" applyFont="1" applyFill="1" applyBorder="1" applyAlignment="1">
      <alignment horizontal="center" vertical="center" readingOrder="2"/>
    </xf>
    <xf numFmtId="0" fontId="27" fillId="18" borderId="43" xfId="0" applyFont="1" applyFill="1" applyBorder="1" applyAlignment="1">
      <alignment horizontal="center" vertical="center" readingOrder="2"/>
    </xf>
    <xf numFmtId="0" fontId="28" fillId="20" borderId="23" xfId="9" applyFont="1" applyFill="1" applyBorder="1" applyAlignment="1">
      <alignment horizontal="center" vertical="center" readingOrder="2"/>
    </xf>
    <xf numFmtId="0" fontId="28" fillId="20" borderId="25" xfId="9" applyFont="1" applyFill="1" applyBorder="1" applyAlignment="1">
      <alignment horizontal="center" vertical="center" readingOrder="2"/>
    </xf>
    <xf numFmtId="0" fontId="27" fillId="18" borderId="12" xfId="0" applyFont="1" applyFill="1" applyBorder="1" applyAlignment="1">
      <alignment horizontal="center" vertical="center" readingOrder="2"/>
    </xf>
    <xf numFmtId="0" fontId="27" fillId="18" borderId="44" xfId="0" applyFont="1" applyFill="1" applyBorder="1" applyAlignment="1">
      <alignment horizontal="center" vertical="center" readingOrder="2"/>
    </xf>
    <xf numFmtId="3" fontId="3" fillId="20" borderId="21" xfId="9" applyNumberFormat="1" applyFont="1" applyFill="1" applyBorder="1" applyAlignment="1">
      <alignment horizontal="center" vertical="center"/>
    </xf>
    <xf numFmtId="3" fontId="3" fillId="20" borderId="31" xfId="9" applyNumberFormat="1" applyFont="1" applyFill="1" applyBorder="1" applyAlignment="1">
      <alignment horizontal="center" vertical="center"/>
    </xf>
    <xf numFmtId="0" fontId="26" fillId="19" borderId="34" xfId="0" applyFont="1" applyFill="1" applyBorder="1" applyAlignment="1">
      <alignment horizontal="center" vertical="center" readingOrder="2"/>
    </xf>
    <xf numFmtId="0" fontId="26" fillId="19" borderId="35" xfId="0" applyFont="1" applyFill="1" applyBorder="1" applyAlignment="1">
      <alignment horizontal="center" vertical="center" readingOrder="2"/>
    </xf>
    <xf numFmtId="0" fontId="26" fillId="19" borderId="37" xfId="0" applyFont="1" applyFill="1" applyBorder="1" applyAlignment="1">
      <alignment horizontal="center" vertical="center" readingOrder="2"/>
    </xf>
    <xf numFmtId="0" fontId="26" fillId="19" borderId="38" xfId="0" applyFont="1" applyFill="1" applyBorder="1" applyAlignment="1">
      <alignment horizontal="center" vertical="center" readingOrder="2"/>
    </xf>
    <xf numFmtId="0" fontId="26" fillId="19" borderId="40" xfId="0" applyFont="1" applyFill="1" applyBorder="1" applyAlignment="1">
      <alignment horizontal="center" vertical="center" readingOrder="2"/>
    </xf>
    <xf numFmtId="0" fontId="26" fillId="19" borderId="41" xfId="0" applyFont="1" applyFill="1" applyBorder="1" applyAlignment="1">
      <alignment horizontal="center" vertical="center" readingOrder="2"/>
    </xf>
    <xf numFmtId="0" fontId="28" fillId="20" borderId="24" xfId="9" applyFont="1" applyFill="1" applyBorder="1" applyAlignment="1">
      <alignment horizontal="center" vertical="center" readingOrder="2"/>
    </xf>
    <xf numFmtId="0" fontId="25" fillId="0" borderId="23" xfId="0" applyFont="1" applyBorder="1" applyAlignment="1">
      <alignment horizontal="center" vertical="center" readingOrder="2"/>
    </xf>
    <xf numFmtId="0" fontId="25" fillId="0" borderId="24" xfId="0" applyFont="1" applyBorder="1" applyAlignment="1">
      <alignment horizontal="center" vertical="center" readingOrder="2"/>
    </xf>
    <xf numFmtId="0" fontId="25" fillId="0" borderId="25" xfId="0" applyFont="1" applyBorder="1" applyAlignment="1">
      <alignment horizontal="center" vertical="center" readingOrder="2"/>
    </xf>
    <xf numFmtId="0" fontId="3" fillId="0" borderId="23" xfId="0" applyFont="1" applyBorder="1" applyAlignment="1">
      <alignment horizontal="center" vertical="center" readingOrder="2"/>
    </xf>
    <xf numFmtId="0" fontId="3" fillId="0" borderId="24" xfId="0" applyFont="1" applyBorder="1" applyAlignment="1">
      <alignment horizontal="center" vertical="center" readingOrder="2"/>
    </xf>
    <xf numFmtId="0" fontId="3" fillId="0" borderId="25" xfId="0" applyFont="1" applyBorder="1" applyAlignment="1">
      <alignment horizontal="center" vertical="center" readingOrder="2"/>
    </xf>
    <xf numFmtId="0" fontId="26" fillId="20" borderId="23" xfId="0" applyFont="1" applyFill="1" applyBorder="1" applyAlignment="1">
      <alignment horizontal="center" vertical="center" readingOrder="2"/>
    </xf>
    <xf numFmtId="0" fontId="26" fillId="20" borderId="24" xfId="0" applyFont="1" applyFill="1" applyBorder="1" applyAlignment="1">
      <alignment horizontal="center" vertical="center" readingOrder="2"/>
    </xf>
    <xf numFmtId="0" fontId="26" fillId="20" borderId="25" xfId="0" applyFont="1" applyFill="1" applyBorder="1" applyAlignment="1">
      <alignment horizontal="center" vertical="center" readingOrder="2"/>
    </xf>
    <xf numFmtId="167" fontId="18" fillId="13" borderId="0" xfId="1" applyNumberFormat="1" applyFont="1" applyFill="1" applyAlignment="1">
      <alignment horizontal="center"/>
    </xf>
    <xf numFmtId="9" fontId="19" fillId="11" borderId="20" xfId="4" applyNumberFormat="1" applyFont="1" applyAlignment="1">
      <alignment horizontal="center"/>
    </xf>
    <xf numFmtId="167" fontId="20" fillId="12" borderId="0" xfId="5" applyNumberFormat="1" applyFont="1" applyAlignment="1">
      <alignment horizontal="center" vertical="center"/>
    </xf>
    <xf numFmtId="172" fontId="6" fillId="0" borderId="31" xfId="3" applyNumberFormat="1" applyFont="1" applyBorder="1" applyAlignment="1">
      <alignment horizontal="center" vertical="center" readingOrder="2"/>
    </xf>
    <xf numFmtId="172" fontId="6" fillId="0" borderId="29" xfId="3" applyNumberFormat="1" applyFont="1" applyBorder="1" applyAlignment="1">
      <alignment horizontal="center" vertical="center" readingOrder="2"/>
    </xf>
    <xf numFmtId="172" fontId="6" fillId="0" borderId="21" xfId="3" applyNumberFormat="1" applyFont="1" applyBorder="1" applyAlignment="1">
      <alignment horizontal="center" vertical="center" readingOrder="2"/>
    </xf>
    <xf numFmtId="172" fontId="6" fillId="0" borderId="2" xfId="3" applyNumberFormat="1" applyFont="1" applyBorder="1" applyAlignment="1">
      <alignment horizontal="center" vertical="center" readingOrder="2"/>
    </xf>
    <xf numFmtId="166" fontId="31" fillId="21" borderId="53" xfId="10" applyNumberFormat="1" applyFont="1" applyBorder="1" applyAlignment="1">
      <alignment horizontal="center"/>
    </xf>
  </cellXfs>
  <cellStyles count="11">
    <cellStyle name="40% - Accent4" xfId="5" builtinId="43"/>
    <cellStyle name="Comma" xfId="1" builtinId="3"/>
    <cellStyle name="Normal" xfId="0" builtinId="0"/>
    <cellStyle name="Normal 2" xfId="6" xr:uid="{2877CFD2-7717-4297-9902-B2F3674241AE}"/>
    <cellStyle name="Normal 2 2 2" xfId="9" xr:uid="{FF08B6A0-B645-4C9E-B7BF-EA8BCE3BA5BA}"/>
    <cellStyle name="Normal 3" xfId="3" xr:uid="{59E73F63-EC0B-42DD-8606-5396BECC48BF}"/>
    <cellStyle name="Note" xfId="10" builtinId="10"/>
    <cellStyle name="Output" xfId="4" builtinId="21"/>
    <cellStyle name="Percent" xfId="2" builtinId="5"/>
    <cellStyle name="Percent 2" xfId="7" xr:uid="{F3A1EDA8-E606-4C75-BD91-6878F49F58DC}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'پیش بینی'!$B$39:$C$39</c:f>
              <c:strCache>
                <c:ptCount val="2"/>
                <c:pt idx="0">
                  <c:v>حاشیه سود ناخالص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'پیش بینی'!$D$22:$F$22</c:f>
              <c:strCache>
                <c:ptCount val="3"/>
                <c:pt idx="0">
                  <c:v>سال 1405</c:v>
                </c:pt>
                <c:pt idx="1">
                  <c:v>سال 1406</c:v>
                </c:pt>
                <c:pt idx="2">
                  <c:v>سال 1407</c:v>
                </c:pt>
              </c:strCache>
            </c:strRef>
          </c:cat>
          <c:val>
            <c:numRef>
              <c:f>'پیش بینی'!$D$39:$F$39</c:f>
              <c:numCache>
                <c:formatCode>0%</c:formatCode>
                <c:ptCount val="3"/>
                <c:pt idx="0">
                  <c:v>0.22976745191981493</c:v>
                </c:pt>
                <c:pt idx="1">
                  <c:v>0.27077559729253875</c:v>
                </c:pt>
                <c:pt idx="2">
                  <c:v>0.28133399748416038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A43-4082-93BD-9162D48F835F}"/>
            </c:ext>
          </c:extLst>
        </c:ser>
        <c:ser>
          <c:idx val="2"/>
          <c:order val="1"/>
          <c:tx>
            <c:strRef>
              <c:f>'پیش بینی'!$B$41:$C$41</c:f>
              <c:strCache>
                <c:ptCount val="2"/>
                <c:pt idx="0">
                  <c:v>حاشیه سود خالص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a-I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'پیش بینی'!$D$22:$F$22</c:f>
              <c:strCache>
                <c:ptCount val="3"/>
                <c:pt idx="0">
                  <c:v>سال 1405</c:v>
                </c:pt>
                <c:pt idx="1">
                  <c:v>سال 1406</c:v>
                </c:pt>
                <c:pt idx="2">
                  <c:v>سال 1407</c:v>
                </c:pt>
              </c:strCache>
            </c:strRef>
          </c:cat>
          <c:val>
            <c:numRef>
              <c:f>'پیش بینی'!$D$41:$F$41</c:f>
              <c:numCache>
                <c:formatCode>0%</c:formatCode>
                <c:ptCount val="3"/>
                <c:pt idx="0">
                  <c:v>0.19444882446883452</c:v>
                </c:pt>
                <c:pt idx="1">
                  <c:v>0.23753727727317298</c:v>
                </c:pt>
                <c:pt idx="2">
                  <c:v>0.25369650516529552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43-4082-93BD-9162D48F8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531568"/>
        <c:axId val="734240768"/>
      </c:lineChart>
      <c:catAx>
        <c:axId val="6155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734240768"/>
        <c:crosses val="autoZero"/>
        <c:auto val="1"/>
        <c:lblAlgn val="ctr"/>
        <c:lblOffset val="100"/>
        <c:noMultiLvlLbl val="0"/>
      </c:catAx>
      <c:valAx>
        <c:axId val="734240768"/>
        <c:scaling>
          <c:orientation val="minMax"/>
          <c:min val="0.15000000000000002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61553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a-I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'پیش بینی'!$H$23:$I$23</c:f>
              <c:strCache>
                <c:ptCount val="2"/>
                <c:pt idx="0">
                  <c:v>97,920 </c:v>
                </c:pt>
                <c:pt idx="1">
                  <c:v>264,384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'پیش بینی'!$D$22:$F$22</c:f>
              <c:strCache>
                <c:ptCount val="3"/>
                <c:pt idx="0">
                  <c:v>سال 1405</c:v>
                </c:pt>
                <c:pt idx="1">
                  <c:v>سال 1406</c:v>
                </c:pt>
                <c:pt idx="2">
                  <c:v>سال 1407</c:v>
                </c:pt>
              </c:strCache>
            </c:strRef>
          </c:cat>
          <c:val>
            <c:numRef>
              <c:f>'پیش بینی'!$H$23:$J$23</c:f>
              <c:numCache>
                <c:formatCode>#,##0_ ;[Red]\-#,##0\ </c:formatCode>
                <c:ptCount val="3"/>
                <c:pt idx="0">
                  <c:v>97920</c:v>
                </c:pt>
                <c:pt idx="1">
                  <c:v>264384</c:v>
                </c:pt>
                <c:pt idx="2">
                  <c:v>458265.59999999998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8D-4E98-B37E-735F2691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30135648"/>
        <c:axId val="930124416"/>
      </c:barChart>
      <c:catAx>
        <c:axId val="93013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930124416"/>
        <c:crosses val="autoZero"/>
        <c:auto val="1"/>
        <c:lblAlgn val="ctr"/>
        <c:lblOffset val="100"/>
        <c:noMultiLvlLbl val="0"/>
      </c:catAx>
      <c:valAx>
        <c:axId val="930124416"/>
        <c:scaling>
          <c:orientation val="minMax"/>
        </c:scaling>
        <c:delete val="0"/>
        <c:axPos val="l"/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93013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508003</xdr:colOff>
      <xdr:row>1</xdr:row>
      <xdr:rowOff>31750</xdr:rowOff>
    </xdr:from>
    <xdr:to>
      <xdr:col>24</xdr:col>
      <xdr:colOff>445633</xdr:colOff>
      <xdr:row>6</xdr:row>
      <xdr:rowOff>72156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D83433-0F93-4085-94FA-42609B304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42153450" y="222250"/>
          <a:ext cx="8097380" cy="1352739"/>
        </a:xfrm>
        <a:prstGeom prst="rect">
          <a:avLst/>
        </a:prstGeom>
      </xdr:spPr>
    </xdr:pic>
    <xdr:clientData/>
  </xdr:twoCellAnchor>
  <xdr:twoCellAnchor editAs="oneCell">
    <xdr:from>
      <xdr:col>15</xdr:col>
      <xdr:colOff>539751</xdr:colOff>
      <xdr:row>8</xdr:row>
      <xdr:rowOff>179916</xdr:rowOff>
    </xdr:from>
    <xdr:to>
      <xdr:col>24</xdr:col>
      <xdr:colOff>563118</xdr:colOff>
      <xdr:row>18</xdr:row>
      <xdr:rowOff>182349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D03131-05AC-41D0-8FB2-57EFAAF4C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2035965" y="2148416"/>
          <a:ext cx="8183117" cy="2267266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635001</xdr:colOff>
      <xdr:row>16</xdr:row>
      <xdr:rowOff>74083</xdr:rowOff>
    </xdr:from>
    <xdr:to>
      <xdr:col>20</xdr:col>
      <xdr:colOff>469996</xdr:colOff>
      <xdr:row>20</xdr:row>
      <xdr:rowOff>121821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B9A038-0CF5-45BF-9E8D-5A09243D1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45208838" y="3788833"/>
          <a:ext cx="8259328" cy="809738"/>
        </a:xfrm>
        <a:prstGeom prst="rect">
          <a:avLst/>
        </a:prstGeom>
      </xdr:spPr>
    </xdr:pic>
    <xdr:clientData/>
  </xdr:twoCellAnchor>
  <xdr:twoCellAnchor editAs="oneCell">
    <xdr:from>
      <xdr:col>7</xdr:col>
      <xdr:colOff>1841499</xdr:colOff>
      <xdr:row>81</xdr:row>
      <xdr:rowOff>190499</xdr:rowOff>
    </xdr:from>
    <xdr:to>
      <xdr:col>18</xdr:col>
      <xdr:colOff>378220</xdr:colOff>
      <xdr:row>100</xdr:row>
      <xdr:rowOff>5949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2DFBB3-620F-47B8-B8BC-E234E156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7501947" y="19769666"/>
          <a:ext cx="10421804" cy="4715533"/>
        </a:xfrm>
        <a:prstGeom prst="rect">
          <a:avLst/>
        </a:prstGeom>
      </xdr:spPr>
    </xdr:pic>
    <xdr:clientData/>
  </xdr:twoCellAnchor>
  <xdr:twoCellAnchor editAs="oneCell">
    <xdr:from>
      <xdr:col>6</xdr:col>
      <xdr:colOff>1227666</xdr:colOff>
      <xdr:row>59</xdr:row>
      <xdr:rowOff>116417</xdr:rowOff>
    </xdr:from>
    <xdr:to>
      <xdr:col>15</xdr:col>
      <xdr:colOff>878309</xdr:colOff>
      <xdr:row>68</xdr:row>
      <xdr:rowOff>143632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70AC1C-CE87-405B-8C35-6E54F009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50716608" y="14425084"/>
          <a:ext cx="9323809" cy="2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</xdr:colOff>
      <xdr:row>23</xdr:row>
      <xdr:rowOff>137583</xdr:rowOff>
    </xdr:from>
    <xdr:to>
      <xdr:col>22</xdr:col>
      <xdr:colOff>381798</xdr:colOff>
      <xdr:row>46</xdr:row>
      <xdr:rowOff>122095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010588-163C-47A9-852D-6A90ED83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43519036" y="5757333"/>
          <a:ext cx="10552381" cy="5371429"/>
        </a:xfrm>
        <a:prstGeom prst="rect">
          <a:avLst/>
        </a:prstGeom>
      </xdr:spPr>
    </xdr:pic>
    <xdr:clientData/>
  </xdr:twoCellAnchor>
  <xdr:twoCellAnchor editAs="oneCell">
    <xdr:from>
      <xdr:col>6</xdr:col>
      <xdr:colOff>994834</xdr:colOff>
      <xdr:row>45</xdr:row>
      <xdr:rowOff>253999</xdr:rowOff>
    </xdr:from>
    <xdr:to>
      <xdr:col>15</xdr:col>
      <xdr:colOff>321668</xdr:colOff>
      <xdr:row>58</xdr:row>
      <xdr:rowOff>190499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CCAE893-6E2C-4A8B-A234-A62183ED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51273249" y="11101916"/>
          <a:ext cx="9000000" cy="3206750"/>
        </a:xfrm>
        <a:prstGeom prst="rect">
          <a:avLst/>
        </a:prstGeom>
      </xdr:spPr>
    </xdr:pic>
    <xdr:clientData/>
  </xdr:twoCellAnchor>
  <xdr:twoCellAnchor>
    <xdr:from>
      <xdr:col>6</xdr:col>
      <xdr:colOff>1153584</xdr:colOff>
      <xdr:row>37</xdr:row>
      <xdr:rowOff>9523</xdr:rowOff>
    </xdr:from>
    <xdr:to>
      <xdr:col>10</xdr:col>
      <xdr:colOff>317501</xdr:colOff>
      <xdr:row>48</xdr:row>
      <xdr:rowOff>180973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1124887-2C96-4C1A-B869-915136B011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788458</xdr:colOff>
      <xdr:row>14</xdr:row>
      <xdr:rowOff>41275</xdr:rowOff>
    </xdr:from>
    <xdr:to>
      <xdr:col>17</xdr:col>
      <xdr:colOff>153458</xdr:colOff>
      <xdr:row>24</xdr:row>
      <xdr:rowOff>170391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C5656AA-3C7B-462A-A8A8-036CDBE1DF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B133"/>
  <sheetViews>
    <sheetView rightToLeft="1" tabSelected="1" zoomScale="90" zoomScaleNormal="90" workbookViewId="0">
      <selection activeCell="I13" sqref="I13:I19"/>
    </sheetView>
  </sheetViews>
  <sheetFormatPr defaultRowHeight="15" x14ac:dyDescent="0.25"/>
  <cols>
    <col min="1" max="1" width="9.140625" style="5"/>
    <col min="2" max="2" width="42.42578125" style="7" customWidth="1"/>
    <col min="3" max="3" width="15" style="7" customWidth="1"/>
    <col min="4" max="4" width="20.85546875" style="5" customWidth="1"/>
    <col min="5" max="5" width="18.140625" style="5" customWidth="1"/>
    <col min="6" max="6" width="19" style="5" customWidth="1"/>
    <col min="7" max="7" width="22.5703125" style="5" customWidth="1"/>
    <col min="8" max="8" width="16.140625" style="5" customWidth="1"/>
    <col min="9" max="9" width="13.7109375" style="5" bestFit="1" customWidth="1"/>
    <col min="10" max="10" width="13.5703125" style="5" bestFit="1" customWidth="1"/>
    <col min="11" max="11" width="15.140625" style="5" customWidth="1"/>
    <col min="12" max="12" width="13.85546875" style="5" customWidth="1"/>
    <col min="13" max="13" width="17.140625" style="5" customWidth="1"/>
    <col min="14" max="14" width="20.7109375" style="5" customWidth="1"/>
    <col min="15" max="15" width="12.140625" style="5" customWidth="1"/>
    <col min="16" max="16" width="13.7109375" style="5" customWidth="1"/>
    <col min="17" max="17" width="14.28515625" style="5" customWidth="1"/>
    <col min="18" max="18" width="16.28515625" style="5" customWidth="1"/>
    <col min="19" max="19" width="15.140625" style="5" customWidth="1"/>
    <col min="20" max="20" width="16.85546875" style="5" customWidth="1"/>
    <col min="21" max="21" width="16.42578125" style="5" customWidth="1"/>
    <col min="22" max="22" width="10.140625" style="5" bestFit="1" customWidth="1"/>
    <col min="23" max="23" width="9.28515625" style="5" bestFit="1" customWidth="1"/>
    <col min="24" max="25" width="10.140625" style="5" bestFit="1" customWidth="1"/>
    <col min="26" max="26" width="9.28515625" style="5" bestFit="1" customWidth="1"/>
    <col min="27" max="27" width="10.140625" style="5" bestFit="1" customWidth="1"/>
    <col min="28" max="28" width="9.28515625" style="5" bestFit="1" customWidth="1"/>
    <col min="29" max="29" width="11.28515625" style="5" bestFit="1" customWidth="1"/>
    <col min="30" max="16384" width="9.140625" style="5"/>
  </cols>
  <sheetData>
    <row r="2" spans="2:15" ht="21.75" thickBot="1" x14ac:dyDescent="0.6">
      <c r="B2" s="85" t="s">
        <v>52</v>
      </c>
      <c r="C2" s="86"/>
      <c r="D2" s="87" t="s">
        <v>138</v>
      </c>
      <c r="E2" s="87" t="s">
        <v>139</v>
      </c>
      <c r="F2" s="87" t="s">
        <v>140</v>
      </c>
    </row>
    <row r="3" spans="2:15" ht="18.75" thickBot="1" x14ac:dyDescent="0.5">
      <c r="B3" s="88" t="s">
        <v>44</v>
      </c>
      <c r="C3" s="88"/>
      <c r="D3" s="89">
        <v>800000</v>
      </c>
      <c r="E3" s="89">
        <v>960000</v>
      </c>
      <c r="F3" s="89">
        <f>E3*1.3</f>
        <v>1248000</v>
      </c>
      <c r="H3"/>
      <c r="I3"/>
      <c r="J3" s="145" t="s">
        <v>152</v>
      </c>
      <c r="K3" s="146"/>
      <c r="L3" s="146"/>
      <c r="M3" s="146"/>
      <c r="N3" s="146"/>
      <c r="O3" s="147"/>
    </row>
    <row r="4" spans="2:15" ht="25.5" thickBot="1" x14ac:dyDescent="0.65">
      <c r="B4" s="90" t="s">
        <v>132</v>
      </c>
      <c r="C4" s="90"/>
      <c r="D4" s="91">
        <v>1700000</v>
      </c>
      <c r="E4" s="91">
        <v>1700000</v>
      </c>
      <c r="F4" s="91">
        <f>E4</f>
        <v>1700000</v>
      </c>
      <c r="H4"/>
      <c r="I4" s="182">
        <f>E33/10000000</f>
        <v>6.280105551459056</v>
      </c>
      <c r="J4" s="137">
        <f t="shared" ref="J4:K4" si="0">K4-0.02</f>
        <v>0.1</v>
      </c>
      <c r="K4" s="137">
        <f t="shared" si="0"/>
        <v>0.12000000000000001</v>
      </c>
      <c r="L4" s="137">
        <f>M4-0.02</f>
        <v>0.14000000000000001</v>
      </c>
      <c r="M4" s="137">
        <v>0.16</v>
      </c>
      <c r="N4" s="137">
        <f>M4+0.02</f>
        <v>0.18</v>
      </c>
      <c r="O4" s="137">
        <f>N4+0.02</f>
        <v>0.19999999999999998</v>
      </c>
    </row>
    <row r="5" spans="2:15" ht="18" x14ac:dyDescent="0.45">
      <c r="B5" s="90" t="s">
        <v>133</v>
      </c>
      <c r="C5" s="90"/>
      <c r="D5" s="91">
        <f t="shared" ref="D5:F5" si="1">D4/12</f>
        <v>141666.66666666666</v>
      </c>
      <c r="E5" s="91">
        <f t="shared" si="1"/>
        <v>141666.66666666666</v>
      </c>
      <c r="F5" s="91">
        <f t="shared" si="1"/>
        <v>141666.66666666666</v>
      </c>
      <c r="H5" s="148" t="s">
        <v>153</v>
      </c>
      <c r="I5" s="136">
        <v>550000</v>
      </c>
      <c r="J5" s="178">
        <f t="dataTable" ref="J5:O11" dt2D="1" dtr="1" r1="E12" r2="E8"/>
        <v>3.8520823184937747</v>
      </c>
      <c r="K5" s="178">
        <v>3.6230279172995226</v>
      </c>
      <c r="L5" s="178">
        <v>3.3939735161052704</v>
      </c>
      <c r="M5" s="178">
        <v>3.164919114911017</v>
      </c>
      <c r="N5" s="178">
        <v>2.9358647137167631</v>
      </c>
      <c r="O5" s="178">
        <v>2.7068103125225127</v>
      </c>
    </row>
    <row r="6" spans="2:15" ht="18" x14ac:dyDescent="0.45">
      <c r="B6" s="90" t="s">
        <v>78</v>
      </c>
      <c r="C6" s="90"/>
      <c r="D6" s="92">
        <v>0.5</v>
      </c>
      <c r="E6" s="92">
        <v>0.75</v>
      </c>
      <c r="F6" s="92">
        <v>1</v>
      </c>
      <c r="H6" s="149"/>
      <c r="I6" s="136">
        <v>750000</v>
      </c>
      <c r="J6" s="178">
        <v>5.6355900927545104</v>
      </c>
      <c r="K6" s="179">
        <v>5.3232431820350765</v>
      </c>
      <c r="L6" s="179">
        <v>5.01089627131564</v>
      </c>
      <c r="M6" s="178">
        <v>4.6985493605962034</v>
      </c>
      <c r="N6" s="178">
        <v>4.3862024498767678</v>
      </c>
      <c r="O6" s="178">
        <v>4.0738555391573339</v>
      </c>
    </row>
    <row r="7" spans="2:15" ht="18" x14ac:dyDescent="0.45">
      <c r="B7" s="90" t="s">
        <v>131</v>
      </c>
      <c r="C7" s="90"/>
      <c r="D7" s="91">
        <v>6</v>
      </c>
      <c r="E7" s="91">
        <v>9</v>
      </c>
      <c r="F7" s="91">
        <v>9</v>
      </c>
      <c r="H7" s="149"/>
      <c r="I7" s="136">
        <v>956250</v>
      </c>
      <c r="J7" s="180">
        <v>7.4748324849608956</v>
      </c>
      <c r="K7" s="181">
        <v>7.0765901737936137</v>
      </c>
      <c r="L7" s="181">
        <v>6.6783478626263353</v>
      </c>
      <c r="M7" s="178">
        <v>6.280105551459056</v>
      </c>
      <c r="N7" s="178">
        <v>5.8818632402917741</v>
      </c>
      <c r="O7" s="178">
        <v>5.4836209291244957</v>
      </c>
    </row>
    <row r="8" spans="2:15" ht="18" x14ac:dyDescent="0.45">
      <c r="B8" s="90" t="s">
        <v>13</v>
      </c>
      <c r="C8" s="90"/>
      <c r="D8" s="91">
        <f>D5*D7*D6</f>
        <v>425000</v>
      </c>
      <c r="E8" s="91">
        <f>E5*E7*E6</f>
        <v>956250</v>
      </c>
      <c r="F8" s="91">
        <f>F5*F7*F6</f>
        <v>1275000</v>
      </c>
      <c r="H8" s="149"/>
      <c r="I8" s="136">
        <v>1100000</v>
      </c>
      <c r="J8" s="180">
        <v>8.7567286977108001</v>
      </c>
      <c r="K8" s="181">
        <v>8.2986198953222932</v>
      </c>
      <c r="L8" s="181">
        <v>7.8405110929337889</v>
      </c>
      <c r="M8" s="178">
        <v>7.382402290545282</v>
      </c>
      <c r="N8" s="178">
        <v>6.9242934881567777</v>
      </c>
      <c r="O8" s="178">
        <v>6.4661846857682734</v>
      </c>
    </row>
    <row r="9" spans="2:15" ht="18" x14ac:dyDescent="0.45">
      <c r="B9" s="93" t="s">
        <v>41</v>
      </c>
      <c r="C9" s="93"/>
      <c r="D9" s="94">
        <v>480</v>
      </c>
      <c r="E9" s="94">
        <f t="shared" ref="E9:E16" si="2">D9</f>
        <v>480</v>
      </c>
      <c r="F9" s="94">
        <f t="shared" ref="F9:F16" si="3">E9</f>
        <v>480</v>
      </c>
      <c r="H9" s="149"/>
      <c r="I9" s="136">
        <f t="shared" ref="I9:I10" si="4">I8+200000</f>
        <v>1300000</v>
      </c>
      <c r="J9" s="178">
        <v>10.540236471971536</v>
      </c>
      <c r="K9" s="178">
        <v>9.9988351600578458</v>
      </c>
      <c r="L9" s="178">
        <v>9.4574338481441593</v>
      </c>
      <c r="M9" s="178">
        <v>8.9160325362304711</v>
      </c>
      <c r="N9" s="178">
        <v>8.3746312243167811</v>
      </c>
      <c r="O9" s="178">
        <v>7.8332299124030946</v>
      </c>
    </row>
    <row r="10" spans="2:15" ht="18" x14ac:dyDescent="0.45">
      <c r="B10" s="90" t="s">
        <v>42</v>
      </c>
      <c r="C10" s="90"/>
      <c r="D10" s="92">
        <v>0.24</v>
      </c>
      <c r="E10" s="92">
        <f t="shared" si="2"/>
        <v>0.24</v>
      </c>
      <c r="F10" s="92">
        <f t="shared" si="3"/>
        <v>0.24</v>
      </c>
      <c r="H10" s="149"/>
      <c r="I10" s="136">
        <f t="shared" si="4"/>
        <v>1500000</v>
      </c>
      <c r="J10" s="178">
        <v>12.323744246232271</v>
      </c>
      <c r="K10" s="178">
        <v>11.699050424793398</v>
      </c>
      <c r="L10" s="178">
        <v>11.074356603354531</v>
      </c>
      <c r="M10" s="178">
        <v>10.449662781915659</v>
      </c>
      <c r="N10" s="178">
        <v>9.8249689604767863</v>
      </c>
      <c r="O10" s="178">
        <v>9.2002751390379185</v>
      </c>
    </row>
    <row r="11" spans="2:15" ht="18.75" thickBot="1" x14ac:dyDescent="0.5">
      <c r="B11" s="88" t="s">
        <v>43</v>
      </c>
      <c r="C11" s="88"/>
      <c r="D11" s="95">
        <v>0.6</v>
      </c>
      <c r="E11" s="95">
        <f t="shared" si="2"/>
        <v>0.6</v>
      </c>
      <c r="F11" s="95">
        <f t="shared" si="3"/>
        <v>0.6</v>
      </c>
      <c r="H11" s="150"/>
      <c r="I11" s="136">
        <f>I10+200000</f>
        <v>1700000</v>
      </c>
      <c r="J11" s="178">
        <v>14.107252020493007</v>
      </c>
      <c r="K11" s="178">
        <v>13.399265689528955</v>
      </c>
      <c r="L11" s="178">
        <v>12.691279358564902</v>
      </c>
      <c r="M11" s="178">
        <v>11.983293027600849</v>
      </c>
      <c r="N11" s="178">
        <v>11.27530669663679</v>
      </c>
      <c r="O11" s="178">
        <v>10.567320365672744</v>
      </c>
    </row>
    <row r="12" spans="2:15" ht="18" x14ac:dyDescent="0.45">
      <c r="B12" s="93" t="s">
        <v>129</v>
      </c>
      <c r="C12" s="93"/>
      <c r="D12" s="96">
        <v>0.16</v>
      </c>
      <c r="E12" s="96">
        <f t="shared" si="2"/>
        <v>0.16</v>
      </c>
      <c r="F12" s="96">
        <f t="shared" si="3"/>
        <v>0.16</v>
      </c>
    </row>
    <row r="13" spans="2:15" ht="18" x14ac:dyDescent="0.45">
      <c r="B13" s="90" t="s">
        <v>97</v>
      </c>
      <c r="C13" s="90"/>
      <c r="D13" s="92">
        <v>0.65</v>
      </c>
      <c r="E13" s="92">
        <f t="shared" si="2"/>
        <v>0.65</v>
      </c>
      <c r="F13" s="92">
        <f t="shared" si="3"/>
        <v>0.65</v>
      </c>
      <c r="I13" s="7">
        <f t="shared" ref="I13:I20" si="5">I5/1000</f>
        <v>550</v>
      </c>
    </row>
    <row r="14" spans="2:15" ht="18" x14ac:dyDescent="0.45">
      <c r="B14" s="93" t="s">
        <v>46</v>
      </c>
      <c r="C14" s="93"/>
      <c r="D14" s="97">
        <v>0.3</v>
      </c>
      <c r="E14" s="97">
        <f t="shared" si="2"/>
        <v>0.3</v>
      </c>
      <c r="F14" s="97">
        <f t="shared" si="3"/>
        <v>0.3</v>
      </c>
      <c r="I14" s="7">
        <f t="shared" si="5"/>
        <v>750</v>
      </c>
    </row>
    <row r="15" spans="2:15" ht="18.75" x14ac:dyDescent="0.45">
      <c r="B15" s="90" t="s">
        <v>47</v>
      </c>
      <c r="C15" s="90"/>
      <c r="D15" s="92">
        <v>0.3</v>
      </c>
      <c r="E15" s="92">
        <f t="shared" si="2"/>
        <v>0.3</v>
      </c>
      <c r="F15" s="92">
        <f t="shared" si="3"/>
        <v>0.3</v>
      </c>
      <c r="H15" s="135"/>
      <c r="I15" s="135">
        <f t="shared" si="5"/>
        <v>956.25</v>
      </c>
      <c r="J15" s="135"/>
      <c r="K15" s="135"/>
      <c r="L15" s="135"/>
    </row>
    <row r="16" spans="2:15" ht="18" x14ac:dyDescent="0.45">
      <c r="B16" s="88" t="s">
        <v>48</v>
      </c>
      <c r="C16" s="88"/>
      <c r="D16" s="95">
        <v>0.3</v>
      </c>
      <c r="E16" s="95">
        <f t="shared" si="2"/>
        <v>0.3</v>
      </c>
      <c r="F16" s="95">
        <f t="shared" si="3"/>
        <v>0.3</v>
      </c>
      <c r="I16" s="7">
        <f t="shared" si="5"/>
        <v>1100</v>
      </c>
    </row>
    <row r="17" spans="2:10" x14ac:dyDescent="0.25">
      <c r="D17" s="15"/>
      <c r="E17" s="15"/>
      <c r="F17" s="15"/>
      <c r="I17" s="7">
        <f t="shared" si="5"/>
        <v>1300</v>
      </c>
    </row>
    <row r="18" spans="2:10" x14ac:dyDescent="0.25">
      <c r="D18" s="126"/>
      <c r="E18" s="126"/>
      <c r="F18" s="126"/>
      <c r="I18" s="7">
        <f t="shared" si="5"/>
        <v>1500</v>
      </c>
    </row>
    <row r="19" spans="2:10" x14ac:dyDescent="0.25">
      <c r="D19" s="15"/>
      <c r="E19" s="15"/>
      <c r="F19" s="15"/>
      <c r="I19" s="7">
        <f t="shared" si="5"/>
        <v>1700</v>
      </c>
    </row>
    <row r="20" spans="2:10" x14ac:dyDescent="0.25">
      <c r="D20" s="15"/>
      <c r="E20" s="15"/>
      <c r="F20" s="15"/>
      <c r="I20" s="7">
        <f t="shared" si="5"/>
        <v>0</v>
      </c>
    </row>
    <row r="21" spans="2:10" x14ac:dyDescent="0.25">
      <c r="D21" s="15"/>
      <c r="E21" s="15"/>
      <c r="F21" s="15"/>
    </row>
    <row r="22" spans="2:10" ht="48" customHeight="1" x14ac:dyDescent="0.25">
      <c r="B22" s="64" t="s">
        <v>28</v>
      </c>
      <c r="C22" s="65" t="s">
        <v>30</v>
      </c>
      <c r="D22" s="66" t="str">
        <f>D2</f>
        <v>سال 1405</v>
      </c>
      <c r="E22" s="66" t="str">
        <f>E2</f>
        <v>سال 1406</v>
      </c>
      <c r="F22" s="66" t="str">
        <f>F2</f>
        <v>سال 1407</v>
      </c>
    </row>
    <row r="23" spans="2:10" s="6" customFormat="1" ht="26.25" customHeight="1" x14ac:dyDescent="0.25">
      <c r="B23" s="11" t="s">
        <v>0</v>
      </c>
      <c r="C23" s="56" t="s">
        <v>22</v>
      </c>
      <c r="D23" s="61">
        <f>D63</f>
        <v>97920000</v>
      </c>
      <c r="E23" s="11">
        <f t="shared" ref="E23:F23" si="6">E63</f>
        <v>264384000</v>
      </c>
      <c r="F23" s="11">
        <f t="shared" si="6"/>
        <v>458265600</v>
      </c>
      <c r="H23" s="61">
        <f t="shared" ref="H23:H34" si="7">D23/1000</f>
        <v>97920</v>
      </c>
      <c r="I23" s="61">
        <f t="shared" ref="I23:I34" si="8">E23/1000</f>
        <v>264384</v>
      </c>
      <c r="J23" s="61">
        <f t="shared" ref="J23:J34" si="9">F23/1000</f>
        <v>458265.59999999998</v>
      </c>
    </row>
    <row r="24" spans="2:10" ht="18.75" x14ac:dyDescent="0.25">
      <c r="B24" s="11" t="s">
        <v>1</v>
      </c>
      <c r="C24" s="56" t="s">
        <v>22</v>
      </c>
      <c r="D24" s="61">
        <f>-D70</f>
        <v>-75421171.108011723</v>
      </c>
      <c r="E24" s="11">
        <f>-E70</f>
        <v>-192795264.48540944</v>
      </c>
      <c r="F24" s="11">
        <f>-F70</f>
        <v>-329339906.84252274</v>
      </c>
      <c r="H24" s="61">
        <f t="shared" si="7"/>
        <v>-75421.171108011724</v>
      </c>
      <c r="I24" s="61">
        <f t="shared" si="8"/>
        <v>-192795.26448540943</v>
      </c>
      <c r="J24" s="61">
        <f t="shared" si="9"/>
        <v>-329339.90684252273</v>
      </c>
    </row>
    <row r="25" spans="2:10" ht="18.75" x14ac:dyDescent="0.25">
      <c r="B25" s="12" t="s">
        <v>2</v>
      </c>
      <c r="C25" s="57" t="s">
        <v>22</v>
      </c>
      <c r="D25" s="62">
        <f>SUM(D23:D24)</f>
        <v>22498828.891988277</v>
      </c>
      <c r="E25" s="12">
        <f>SUM(E23:E24)</f>
        <v>71588735.514590561</v>
      </c>
      <c r="F25" s="12">
        <f>SUM(F23:F24)</f>
        <v>128925693.15747726</v>
      </c>
      <c r="H25" s="62">
        <f t="shared" si="7"/>
        <v>22498.828891988276</v>
      </c>
      <c r="I25" s="62">
        <f t="shared" si="8"/>
        <v>71588.73551459056</v>
      </c>
      <c r="J25" s="62">
        <f t="shared" si="9"/>
        <v>128925.69315747726</v>
      </c>
    </row>
    <row r="26" spans="2:10" ht="18.75" x14ac:dyDescent="0.25">
      <c r="B26" s="11" t="s">
        <v>3</v>
      </c>
      <c r="C26" s="56" t="s">
        <v>22</v>
      </c>
      <c r="D26" s="61">
        <f>-D23*0.02</f>
        <v>-1958400</v>
      </c>
      <c r="E26" s="61">
        <f>-E23*0.02</f>
        <v>-5287680</v>
      </c>
      <c r="F26" s="61">
        <f>-F23*0.02</f>
        <v>-9165312</v>
      </c>
      <c r="H26" s="61">
        <f t="shared" si="7"/>
        <v>-1958.4</v>
      </c>
      <c r="I26" s="61">
        <f t="shared" si="8"/>
        <v>-5287.68</v>
      </c>
      <c r="J26" s="61">
        <f t="shared" si="9"/>
        <v>-9165.3119999999999</v>
      </c>
    </row>
    <row r="27" spans="2:10" ht="18.75" x14ac:dyDescent="0.25">
      <c r="B27" s="11" t="s">
        <v>4</v>
      </c>
      <c r="C27" s="56" t="s">
        <v>22</v>
      </c>
      <c r="D27" s="61">
        <v>0</v>
      </c>
      <c r="E27" s="11">
        <v>0</v>
      </c>
      <c r="F27" s="11">
        <v>0</v>
      </c>
      <c r="H27" s="61">
        <f t="shared" si="7"/>
        <v>0</v>
      </c>
      <c r="I27" s="61">
        <f t="shared" si="8"/>
        <v>0</v>
      </c>
      <c r="J27" s="61">
        <f t="shared" si="9"/>
        <v>0</v>
      </c>
    </row>
    <row r="28" spans="2:10" ht="18.75" x14ac:dyDescent="0.25">
      <c r="B28" s="12" t="s">
        <v>5</v>
      </c>
      <c r="C28" s="57" t="s">
        <v>22</v>
      </c>
      <c r="D28" s="62">
        <f>SUM(D25:D27)</f>
        <v>20540428.891988277</v>
      </c>
      <c r="E28" s="12">
        <f>SUM(E25:E27)</f>
        <v>66301055.514590561</v>
      </c>
      <c r="F28" s="12">
        <f>SUM(F25:F27)</f>
        <v>119760381.15747726</v>
      </c>
      <c r="H28" s="62">
        <f t="shared" si="7"/>
        <v>20540.428891988278</v>
      </c>
      <c r="I28" s="62">
        <f t="shared" si="8"/>
        <v>66301.055514590567</v>
      </c>
      <c r="J28" s="62">
        <f t="shared" si="9"/>
        <v>119760.38115747726</v>
      </c>
    </row>
    <row r="29" spans="2:10" ht="18.75" x14ac:dyDescent="0.25">
      <c r="B29" s="11" t="s">
        <v>6</v>
      </c>
      <c r="C29" s="56" t="s">
        <v>22</v>
      </c>
      <c r="D29" s="128">
        <v>-1500000</v>
      </c>
      <c r="E29" s="129">
        <v>-3500000</v>
      </c>
      <c r="F29" s="11">
        <f>E29</f>
        <v>-3500000</v>
      </c>
      <c r="H29" s="61">
        <f t="shared" si="7"/>
        <v>-1500</v>
      </c>
      <c r="I29" s="61">
        <f t="shared" si="8"/>
        <v>-3500</v>
      </c>
      <c r="J29" s="61">
        <f t="shared" si="9"/>
        <v>-3500</v>
      </c>
    </row>
    <row r="30" spans="2:10" ht="18.75" x14ac:dyDescent="0.25">
      <c r="B30" s="11" t="s">
        <v>7</v>
      </c>
      <c r="C30" s="56" t="s">
        <v>22</v>
      </c>
      <c r="D30" s="61">
        <f t="shared" ref="D30:E30" si="10">D130</f>
        <v>0</v>
      </c>
      <c r="E30" s="11">
        <f t="shared" si="10"/>
        <v>0</v>
      </c>
      <c r="F30" s="11"/>
      <c r="H30" s="61">
        <f t="shared" si="7"/>
        <v>0</v>
      </c>
      <c r="I30" s="61">
        <f t="shared" si="8"/>
        <v>0</v>
      </c>
      <c r="J30" s="61">
        <f t="shared" si="9"/>
        <v>0</v>
      </c>
    </row>
    <row r="31" spans="2:10" ht="18.75" x14ac:dyDescent="0.25">
      <c r="B31" s="12" t="s">
        <v>8</v>
      </c>
      <c r="C31" s="57" t="s">
        <v>22</v>
      </c>
      <c r="D31" s="62">
        <f>SUM(D28:D30)</f>
        <v>19040428.891988277</v>
      </c>
      <c r="E31" s="12">
        <f>SUM(E28:E30)</f>
        <v>62801055.514590561</v>
      </c>
      <c r="F31" s="12">
        <f>SUM(F28:F30)</f>
        <v>116260381.15747726</v>
      </c>
      <c r="H31" s="62">
        <f t="shared" si="7"/>
        <v>19040.428891988278</v>
      </c>
      <c r="I31" s="62">
        <f t="shared" si="8"/>
        <v>62801.05551459056</v>
      </c>
      <c r="J31" s="62">
        <f t="shared" si="9"/>
        <v>116260.38115747726</v>
      </c>
    </row>
    <row r="32" spans="2:10" ht="18.75" x14ac:dyDescent="0.25">
      <c r="B32" s="11" t="s">
        <v>9</v>
      </c>
      <c r="C32" s="56" t="s">
        <v>22</v>
      </c>
      <c r="D32" s="61">
        <v>0</v>
      </c>
      <c r="E32" s="11">
        <v>0</v>
      </c>
      <c r="F32" s="11">
        <v>0</v>
      </c>
      <c r="H32" s="61">
        <f t="shared" si="7"/>
        <v>0</v>
      </c>
      <c r="I32" s="61">
        <f t="shared" si="8"/>
        <v>0</v>
      </c>
      <c r="J32" s="61">
        <f t="shared" si="9"/>
        <v>0</v>
      </c>
    </row>
    <row r="33" spans="2:10" ht="18.75" x14ac:dyDescent="0.25">
      <c r="B33" s="12" t="s">
        <v>10</v>
      </c>
      <c r="C33" s="57" t="s">
        <v>22</v>
      </c>
      <c r="D33" s="62">
        <f>SUM(D31:D32)</f>
        <v>19040428.891988277</v>
      </c>
      <c r="E33" s="12">
        <f>SUM(E31:E32)</f>
        <v>62801055.514590561</v>
      </c>
      <c r="F33" s="12">
        <f>SUM(F31:F32)</f>
        <v>116260381.15747726</v>
      </c>
      <c r="H33" s="62">
        <f t="shared" si="7"/>
        <v>19040.428891988278</v>
      </c>
      <c r="I33" s="62">
        <f t="shared" si="8"/>
        <v>62801.05551459056</v>
      </c>
      <c r="J33" s="62">
        <f t="shared" si="9"/>
        <v>116260.38115747726</v>
      </c>
    </row>
    <row r="34" spans="2:10" ht="18.75" x14ac:dyDescent="0.25">
      <c r="B34" s="11" t="s">
        <v>12</v>
      </c>
      <c r="C34" s="56" t="s">
        <v>22</v>
      </c>
      <c r="D34" s="61">
        <v>26000000</v>
      </c>
      <c r="E34" s="11">
        <f>D34</f>
        <v>26000000</v>
      </c>
      <c r="F34" s="11">
        <f>E34</f>
        <v>26000000</v>
      </c>
      <c r="H34" s="61">
        <f t="shared" si="7"/>
        <v>26000</v>
      </c>
      <c r="I34" s="61">
        <f t="shared" si="8"/>
        <v>26000</v>
      </c>
      <c r="J34" s="61">
        <f t="shared" si="9"/>
        <v>26000</v>
      </c>
    </row>
    <row r="35" spans="2:10" ht="21" x14ac:dyDescent="0.25">
      <c r="B35" s="10" t="s">
        <v>11</v>
      </c>
      <c r="C35" s="58" t="s">
        <v>18</v>
      </c>
      <c r="D35" s="63">
        <f>D33*1000/D34</f>
        <v>732.32418815339531</v>
      </c>
      <c r="E35" s="10">
        <f>E33*1000/E34</f>
        <v>2415.4252120996371</v>
      </c>
      <c r="F35" s="10">
        <f>F33*1000/F34</f>
        <v>4471.5531214414332</v>
      </c>
      <c r="H35" s="63">
        <f>D35</f>
        <v>732.32418815339531</v>
      </c>
      <c r="I35" s="63">
        <f t="shared" ref="I35:J35" si="11">E35</f>
        <v>2415.4252120996371</v>
      </c>
      <c r="J35" s="63">
        <f t="shared" si="11"/>
        <v>4471.5531214414332</v>
      </c>
    </row>
    <row r="36" spans="2:10" x14ac:dyDescent="0.25">
      <c r="B36" s="5"/>
      <c r="C36" s="5"/>
    </row>
    <row r="38" spans="2:10" ht="15.75" thickBot="1" x14ac:dyDescent="0.3"/>
    <row r="39" spans="2:10" ht="21.75" x14ac:dyDescent="0.5">
      <c r="B39" s="139" t="s">
        <v>49</v>
      </c>
      <c r="C39" s="140"/>
      <c r="D39" s="53">
        <f>D25/D23</f>
        <v>0.22976745191981493</v>
      </c>
      <c r="E39" s="53">
        <f>E25/E23</f>
        <v>0.27077559729253875</v>
      </c>
      <c r="F39" s="53">
        <f>F25/F23</f>
        <v>0.28133399748416038</v>
      </c>
    </row>
    <row r="40" spans="2:10" ht="21.75" x14ac:dyDescent="0.5">
      <c r="B40" s="141" t="s">
        <v>50</v>
      </c>
      <c r="C40" s="142"/>
      <c r="D40" s="54">
        <f>D28/D23</f>
        <v>0.20976745191981491</v>
      </c>
      <c r="E40" s="54">
        <f>E28/E23</f>
        <v>0.25077559729253873</v>
      </c>
      <c r="F40" s="54">
        <f>F28/F23</f>
        <v>0.26133399748416042</v>
      </c>
    </row>
    <row r="41" spans="2:10" ht="22.5" thickBot="1" x14ac:dyDescent="0.55000000000000004">
      <c r="B41" s="143" t="s">
        <v>51</v>
      </c>
      <c r="C41" s="144"/>
      <c r="D41" s="55">
        <f>D33/D23</f>
        <v>0.19444882446883452</v>
      </c>
      <c r="E41" s="55">
        <f>E33/E23</f>
        <v>0.23753727727317298</v>
      </c>
      <c r="F41" s="55">
        <f>F33/F23</f>
        <v>0.25369650516529552</v>
      </c>
    </row>
    <row r="46" spans="2:10" s="6" customFormat="1" ht="21" x14ac:dyDescent="0.25">
      <c r="B46" s="1" t="s">
        <v>13</v>
      </c>
      <c r="C46" s="1" t="s">
        <v>30</v>
      </c>
      <c r="D46" s="67" t="str">
        <f t="shared" ref="D46:F46" si="12">D22</f>
        <v>سال 1405</v>
      </c>
      <c r="E46" s="67" t="str">
        <f t="shared" si="12"/>
        <v>سال 1406</v>
      </c>
      <c r="F46" s="67" t="str">
        <f t="shared" si="12"/>
        <v>سال 1407</v>
      </c>
      <c r="G46" s="5"/>
      <c r="H46" s="5"/>
      <c r="I46" s="5"/>
    </row>
    <row r="47" spans="2:10" ht="18.75" x14ac:dyDescent="0.25">
      <c r="B47" s="11" t="s">
        <v>14</v>
      </c>
      <c r="C47" s="11" t="s">
        <v>15</v>
      </c>
      <c r="D47" s="11">
        <f>D8</f>
        <v>425000</v>
      </c>
      <c r="E47" s="11">
        <f>E8</f>
        <v>956250</v>
      </c>
      <c r="F47" s="11">
        <f>F8</f>
        <v>1275000</v>
      </c>
    </row>
    <row r="48" spans="2:10" ht="21" x14ac:dyDescent="0.25">
      <c r="B48" s="13" t="s">
        <v>19</v>
      </c>
      <c r="C48" s="13"/>
      <c r="D48" s="13">
        <f>SUM(D47:D47)</f>
        <v>425000</v>
      </c>
      <c r="E48" s="13">
        <f>SUM(E47:E47)</f>
        <v>956250</v>
      </c>
      <c r="F48" s="13">
        <f>SUM(F47:F47)</f>
        <v>1275000</v>
      </c>
    </row>
    <row r="49" spans="2:6" x14ac:dyDescent="0.25">
      <c r="B49" s="5"/>
      <c r="C49" s="5"/>
    </row>
    <row r="50" spans="2:6" x14ac:dyDescent="0.25">
      <c r="B50" s="5"/>
      <c r="C50" s="5"/>
    </row>
    <row r="51" spans="2:6" s="6" customFormat="1" ht="21" x14ac:dyDescent="0.25">
      <c r="B51" s="1" t="s">
        <v>20</v>
      </c>
      <c r="C51" s="1" t="s">
        <v>30</v>
      </c>
      <c r="D51" s="67" t="str">
        <f t="shared" ref="D51:F52" si="13">D46</f>
        <v>سال 1405</v>
      </c>
      <c r="E51" s="67" t="str">
        <f t="shared" si="13"/>
        <v>سال 1406</v>
      </c>
      <c r="F51" s="67" t="str">
        <f t="shared" si="13"/>
        <v>سال 1407</v>
      </c>
    </row>
    <row r="52" spans="2:6" ht="18.75" x14ac:dyDescent="0.25">
      <c r="B52" s="11" t="s">
        <v>14</v>
      </c>
      <c r="C52" s="11" t="s">
        <v>15</v>
      </c>
      <c r="D52" s="11">
        <f t="shared" si="13"/>
        <v>425000</v>
      </c>
      <c r="E52" s="11">
        <f t="shared" si="13"/>
        <v>956250</v>
      </c>
      <c r="F52" s="11">
        <f t="shared" si="13"/>
        <v>1275000</v>
      </c>
    </row>
    <row r="53" spans="2:6" ht="21" x14ac:dyDescent="0.25">
      <c r="B53" s="13" t="s">
        <v>19</v>
      </c>
      <c r="C53" s="13"/>
      <c r="D53" s="13">
        <f>SUM(D52:D52)</f>
        <v>425000</v>
      </c>
      <c r="E53" s="13">
        <f>SUM(E52:E52)</f>
        <v>956250</v>
      </c>
      <c r="F53" s="13">
        <f>SUM(F52:F52)</f>
        <v>1275000</v>
      </c>
    </row>
    <row r="54" spans="2:6" x14ac:dyDescent="0.25">
      <c r="B54" s="5"/>
      <c r="C54" s="5"/>
    </row>
    <row r="55" spans="2:6" x14ac:dyDescent="0.25">
      <c r="B55" s="5"/>
      <c r="C55" s="5"/>
    </row>
    <row r="56" spans="2:6" s="6" customFormat="1" ht="41.25" customHeight="1" x14ac:dyDescent="0.25">
      <c r="B56" s="1" t="s">
        <v>23</v>
      </c>
      <c r="C56" s="1" t="s">
        <v>30</v>
      </c>
      <c r="D56" s="67" t="str">
        <f t="shared" ref="D56:F56" si="14">D51</f>
        <v>سال 1405</v>
      </c>
      <c r="E56" s="67" t="str">
        <f t="shared" si="14"/>
        <v>سال 1406</v>
      </c>
      <c r="F56" s="67" t="str">
        <f t="shared" si="14"/>
        <v>سال 1407</v>
      </c>
    </row>
    <row r="57" spans="2:6" ht="18.75" x14ac:dyDescent="0.25">
      <c r="B57" s="11" t="s">
        <v>14</v>
      </c>
      <c r="C57" s="11" t="s">
        <v>40</v>
      </c>
      <c r="D57" s="11">
        <f>D9*D3*D11</f>
        <v>230400000</v>
      </c>
      <c r="E57" s="11">
        <f>E9*E3*E11</f>
        <v>276480000</v>
      </c>
      <c r="F57" s="11">
        <f>F9*F3*F11</f>
        <v>359424000</v>
      </c>
    </row>
    <row r="60" spans="2:6" x14ac:dyDescent="0.25">
      <c r="B60" s="5"/>
      <c r="C60" s="5"/>
      <c r="D60" s="18"/>
    </row>
    <row r="61" spans="2:6" s="6" customFormat="1" ht="45.75" customHeight="1" x14ac:dyDescent="0.25">
      <c r="B61" s="1" t="s">
        <v>21</v>
      </c>
      <c r="C61" s="1" t="s">
        <v>30</v>
      </c>
      <c r="D61" s="67" t="str">
        <f>D51</f>
        <v>سال 1405</v>
      </c>
      <c r="E61" s="67" t="str">
        <f>E51</f>
        <v>سال 1406</v>
      </c>
      <c r="F61" s="67" t="str">
        <f>F51</f>
        <v>سال 1407</v>
      </c>
    </row>
    <row r="62" spans="2:6" ht="18.75" x14ac:dyDescent="0.25">
      <c r="B62" s="11" t="s">
        <v>14</v>
      </c>
      <c r="C62" s="11" t="s">
        <v>22</v>
      </c>
      <c r="D62" s="11">
        <f>D57*D52/10^6</f>
        <v>97920000</v>
      </c>
      <c r="E62" s="11">
        <f>E57*E52/10^6</f>
        <v>264384000</v>
      </c>
      <c r="F62" s="11">
        <f>F57*F52/10^6</f>
        <v>458265600</v>
      </c>
    </row>
    <row r="63" spans="2:6" ht="21" x14ac:dyDescent="0.25">
      <c r="B63" s="13" t="s">
        <v>19</v>
      </c>
      <c r="C63" s="13"/>
      <c r="D63" s="13">
        <f>SUM(D62:D62)</f>
        <v>97920000</v>
      </c>
      <c r="E63" s="13">
        <f>SUM(E62:E62)</f>
        <v>264384000</v>
      </c>
      <c r="F63" s="13">
        <f>SUM(F62:F62)</f>
        <v>458265600</v>
      </c>
    </row>
    <row r="64" spans="2:6" x14ac:dyDescent="0.25">
      <c r="B64" s="5"/>
      <c r="C64" s="5"/>
    </row>
    <row r="65" spans="2:15" x14ac:dyDescent="0.25">
      <c r="B65" s="17"/>
    </row>
    <row r="66" spans="2:15" s="6" customFormat="1" ht="21" x14ac:dyDescent="0.25">
      <c r="B66" s="1" t="s">
        <v>24</v>
      </c>
      <c r="C66" s="1" t="s">
        <v>30</v>
      </c>
      <c r="D66" s="67" t="str">
        <f>D56</f>
        <v>سال 1405</v>
      </c>
      <c r="E66" s="67" t="str">
        <f>E56</f>
        <v>سال 1406</v>
      </c>
      <c r="F66" s="67" t="str">
        <f>F56</f>
        <v>سال 1407</v>
      </c>
    </row>
    <row r="67" spans="2:15" ht="18" x14ac:dyDescent="0.25">
      <c r="B67" s="2" t="s">
        <v>25</v>
      </c>
      <c r="C67" s="2" t="s">
        <v>22</v>
      </c>
      <c r="D67" s="2">
        <f>D84</f>
        <v>54835200</v>
      </c>
      <c r="E67" s="2">
        <f>E84</f>
        <v>148055040</v>
      </c>
      <c r="F67" s="2">
        <f>F84</f>
        <v>256628736</v>
      </c>
      <c r="K67" s="73" t="s">
        <v>84</v>
      </c>
      <c r="L67" s="72">
        <v>1404</v>
      </c>
      <c r="M67" s="74">
        <v>1405</v>
      </c>
      <c r="N67" s="75">
        <v>1406</v>
      </c>
      <c r="O67" s="75">
        <v>1407</v>
      </c>
    </row>
    <row r="68" spans="2:15" ht="18" x14ac:dyDescent="0.25">
      <c r="B68" s="2" t="s">
        <v>26</v>
      </c>
      <c r="C68" s="2" t="s">
        <v>22</v>
      </c>
      <c r="D68" s="2">
        <f>I75*I71*(1+D15)</f>
        <v>729945.06376811594</v>
      </c>
      <c r="E68" s="2">
        <f>D68*(1+E15)</f>
        <v>948928.58289855078</v>
      </c>
      <c r="F68" s="2">
        <f>E68*(1+F15)</f>
        <v>1233607.1577681161</v>
      </c>
      <c r="H68" s="5" t="s">
        <v>80</v>
      </c>
      <c r="I68" s="5">
        <v>190</v>
      </c>
      <c r="J68" s="5">
        <v>372095</v>
      </c>
      <c r="K68" s="5">
        <f>(J68/I68)/3</f>
        <v>652.79824561403507</v>
      </c>
      <c r="L68" s="5">
        <f>K68*1.3</f>
        <v>848.63771929824566</v>
      </c>
      <c r="M68" s="76">
        <f>L68*(1+D15)</f>
        <v>1103.2290350877195</v>
      </c>
      <c r="N68" s="77">
        <f>M68*(1+E15)</f>
        <v>1434.1977456140353</v>
      </c>
      <c r="O68" s="77">
        <f>N68*(1+F15)</f>
        <v>1864.4570692982459</v>
      </c>
    </row>
    <row r="69" spans="2:15" ht="18" x14ac:dyDescent="0.25">
      <c r="B69" s="2" t="s">
        <v>27</v>
      </c>
      <c r="C69" s="2" t="s">
        <v>22</v>
      </c>
      <c r="D69" s="2">
        <f>D94</f>
        <v>19856026.044243611</v>
      </c>
      <c r="E69" s="2">
        <f>E94</f>
        <v>43791295.902510896</v>
      </c>
      <c r="F69" s="2">
        <f>F94</f>
        <v>71477563.68475461</v>
      </c>
      <c r="H69" s="5" t="s">
        <v>81</v>
      </c>
      <c r="I69" s="5">
        <v>290</v>
      </c>
      <c r="J69" s="5">
        <v>513702</v>
      </c>
      <c r="K69" s="5">
        <f>(J69/I69)/3</f>
        <v>590.46206896551723</v>
      </c>
      <c r="L69" s="5">
        <f>K69*1.3</f>
        <v>767.60068965517246</v>
      </c>
      <c r="M69" s="78">
        <f>L69*(1+D15)</f>
        <v>997.88089655172428</v>
      </c>
      <c r="N69" s="78">
        <f t="shared" ref="N69:O69" si="15">M69*(1+E15)</f>
        <v>1297.2451655172415</v>
      </c>
      <c r="O69" s="78">
        <f t="shared" si="15"/>
        <v>1686.4187151724141</v>
      </c>
    </row>
    <row r="70" spans="2:15" ht="18" x14ac:dyDescent="0.25">
      <c r="B70" s="3" t="s">
        <v>1</v>
      </c>
      <c r="C70" s="3" t="s">
        <v>22</v>
      </c>
      <c r="D70" s="3">
        <f>SUM(D67:D69)</f>
        <v>75421171.108011723</v>
      </c>
      <c r="E70" s="3">
        <f>SUM(E67:E69)</f>
        <v>192795264.48540944</v>
      </c>
      <c r="F70" s="3">
        <f>SUM(F67:F69)</f>
        <v>329339906.84252274</v>
      </c>
    </row>
    <row r="71" spans="2:15" x14ac:dyDescent="0.25">
      <c r="D71" s="84"/>
      <c r="E71" s="14"/>
      <c r="F71" s="14"/>
      <c r="H71" s="73" t="s">
        <v>82</v>
      </c>
      <c r="I71" s="5">
        <v>166</v>
      </c>
    </row>
    <row r="72" spans="2:15" x14ac:dyDescent="0.25">
      <c r="H72" s="73" t="s">
        <v>83</v>
      </c>
      <c r="I72" s="5">
        <v>69</v>
      </c>
    </row>
    <row r="73" spans="2:15" ht="21" x14ac:dyDescent="0.25">
      <c r="B73" s="1" t="s">
        <v>32</v>
      </c>
      <c r="C73" s="1" t="s">
        <v>30</v>
      </c>
      <c r="D73" s="67" t="str">
        <f t="shared" ref="D73:F73" si="16">D66</f>
        <v>سال 1405</v>
      </c>
      <c r="E73" s="67" t="str">
        <f t="shared" si="16"/>
        <v>سال 1406</v>
      </c>
      <c r="F73" s="67" t="str">
        <f t="shared" si="16"/>
        <v>سال 1407</v>
      </c>
      <c r="I73" s="127">
        <f>SUM(I71:I72)</f>
        <v>235</v>
      </c>
    </row>
    <row r="74" spans="2:15" ht="18" x14ac:dyDescent="0.25">
      <c r="B74" s="2" t="s">
        <v>31</v>
      </c>
      <c r="C74" s="2" t="s">
        <v>15</v>
      </c>
      <c r="D74" s="2">
        <f>D76*D47</f>
        <v>595000</v>
      </c>
      <c r="E74" s="2">
        <f>D76*E47</f>
        <v>1338750</v>
      </c>
      <c r="F74" s="2">
        <f>D76*F47</f>
        <v>1785000</v>
      </c>
    </row>
    <row r="75" spans="2:15" x14ac:dyDescent="0.25">
      <c r="H75" s="5" t="s">
        <v>134</v>
      </c>
      <c r="I75" s="5">
        <f>(55350+13838+110700+44280+9225)/I72</f>
        <v>3382.5072463768115</v>
      </c>
    </row>
    <row r="76" spans="2:15" ht="18" x14ac:dyDescent="0.45">
      <c r="B76" s="69" t="s">
        <v>79</v>
      </c>
      <c r="C76" s="70"/>
      <c r="D76" s="71">
        <v>1.4</v>
      </c>
      <c r="G76" s="59"/>
      <c r="H76" s="5" t="s">
        <v>135</v>
      </c>
      <c r="I76" s="5">
        <f>(27675+132840+332100+83025+69188+6458)/I71</f>
        <v>3923.4096385542171</v>
      </c>
      <c r="J76" s="60"/>
      <c r="K76" s="60"/>
      <c r="L76" s="7"/>
    </row>
    <row r="77" spans="2:15" ht="18" x14ac:dyDescent="0.45">
      <c r="G77" s="59"/>
      <c r="H77" s="60"/>
      <c r="J77" s="60"/>
      <c r="K77" s="60"/>
      <c r="L77" s="7"/>
    </row>
    <row r="78" spans="2:15" ht="21" x14ac:dyDescent="0.25">
      <c r="B78" s="1" t="s">
        <v>33</v>
      </c>
      <c r="C78" s="1" t="s">
        <v>30</v>
      </c>
      <c r="D78" s="67" t="str">
        <f t="shared" ref="D78:F78" si="17">D73</f>
        <v>سال 1405</v>
      </c>
      <c r="E78" s="67" t="str">
        <f t="shared" si="17"/>
        <v>سال 1406</v>
      </c>
      <c r="F78" s="67" t="str">
        <f t="shared" si="17"/>
        <v>سال 1407</v>
      </c>
    </row>
    <row r="79" spans="2:15" ht="18" x14ac:dyDescent="0.25">
      <c r="B79" s="2" t="s">
        <v>31</v>
      </c>
      <c r="C79" s="2" t="s">
        <v>34</v>
      </c>
      <c r="D79" s="2">
        <f>D3*D9*D10</f>
        <v>92160000</v>
      </c>
      <c r="E79" s="2">
        <f>E3*E9*E10</f>
        <v>110592000</v>
      </c>
      <c r="F79" s="2">
        <f>F3*F9*F10</f>
        <v>143769600</v>
      </c>
    </row>
    <row r="81" spans="2:7" x14ac:dyDescent="0.25">
      <c r="G81" s="18"/>
    </row>
    <row r="82" spans="2:7" ht="21" x14ac:dyDescent="0.25">
      <c r="B82" s="1" t="s">
        <v>29</v>
      </c>
      <c r="C82" s="1" t="s">
        <v>30</v>
      </c>
      <c r="D82" s="67" t="str">
        <f t="shared" ref="D82:F82" si="18">D73</f>
        <v>سال 1405</v>
      </c>
      <c r="E82" s="67" t="str">
        <f t="shared" si="18"/>
        <v>سال 1406</v>
      </c>
      <c r="F82" s="67" t="str">
        <f t="shared" si="18"/>
        <v>سال 1407</v>
      </c>
    </row>
    <row r="83" spans="2:7" ht="18" x14ac:dyDescent="0.25">
      <c r="B83" s="2" t="s">
        <v>31</v>
      </c>
      <c r="C83" s="2" t="s">
        <v>22</v>
      </c>
      <c r="D83" s="2">
        <f>D79*D74/10^6</f>
        <v>54835200</v>
      </c>
      <c r="E83" s="2">
        <f>E79*E74/10^6</f>
        <v>148055040</v>
      </c>
      <c r="F83" s="2">
        <f>F79*F74/10^6</f>
        <v>256628736</v>
      </c>
    </row>
    <row r="84" spans="2:7" ht="18" x14ac:dyDescent="0.25">
      <c r="B84" s="3" t="s">
        <v>19</v>
      </c>
      <c r="C84" s="3"/>
      <c r="D84" s="3">
        <f>SUM(D83:D83)</f>
        <v>54835200</v>
      </c>
      <c r="E84" s="3">
        <f>SUM(E83:E83)</f>
        <v>148055040</v>
      </c>
      <c r="F84" s="3">
        <f>SUM(F83:F83)</f>
        <v>256628736</v>
      </c>
    </row>
    <row r="85" spans="2:7" ht="18" x14ac:dyDescent="0.45">
      <c r="B85" s="4"/>
      <c r="C85" s="79"/>
      <c r="D85" s="4"/>
      <c r="E85" s="4"/>
      <c r="F85" s="4"/>
      <c r="G85" s="4"/>
    </row>
    <row r="86" spans="2:7" x14ac:dyDescent="0.25">
      <c r="C86" s="80"/>
    </row>
    <row r="87" spans="2:7" ht="18" x14ac:dyDescent="0.45">
      <c r="B87" s="5"/>
      <c r="C87" s="80"/>
      <c r="D87" s="16"/>
      <c r="E87" s="16"/>
      <c r="F87" s="16"/>
    </row>
    <row r="88" spans="2:7" ht="22.5" customHeight="1" x14ac:dyDescent="0.25">
      <c r="C88" s="80"/>
    </row>
    <row r="89" spans="2:7" ht="21" x14ac:dyDescent="0.25">
      <c r="B89" s="1" t="s">
        <v>39</v>
      </c>
      <c r="C89" s="1" t="s">
        <v>30</v>
      </c>
      <c r="D89" s="67" t="str">
        <f>D78</f>
        <v>سال 1405</v>
      </c>
      <c r="E89" s="67" t="str">
        <f>E78</f>
        <v>سال 1406</v>
      </c>
      <c r="F89" s="67" t="str">
        <f>F78</f>
        <v>سال 1407</v>
      </c>
    </row>
    <row r="90" spans="2:7" ht="30" customHeight="1" x14ac:dyDescent="0.25">
      <c r="B90" s="8" t="s">
        <v>35</v>
      </c>
      <c r="C90" s="2" t="s">
        <v>22</v>
      </c>
      <c r="D90" s="2">
        <f>I72*M69</f>
        <v>68853.78186206898</v>
      </c>
      <c r="E90" s="2">
        <f>I72*N69</f>
        <v>89509.916420689668</v>
      </c>
      <c r="F90" s="2">
        <f>I72*O69</f>
        <v>116362.89134689658</v>
      </c>
    </row>
    <row r="91" spans="2:7" ht="18" x14ac:dyDescent="0.25">
      <c r="B91" s="8" t="s">
        <v>36</v>
      </c>
      <c r="C91" s="2" t="s">
        <v>22</v>
      </c>
      <c r="D91" s="8">
        <f>C101</f>
        <v>5555555.555555556</v>
      </c>
      <c r="E91" s="8">
        <f>D91</f>
        <v>5555555.555555556</v>
      </c>
      <c r="F91" s="8">
        <f>E91</f>
        <v>5555555.555555556</v>
      </c>
    </row>
    <row r="92" spans="2:7" ht="23.25" customHeight="1" x14ac:dyDescent="0.25">
      <c r="B92" s="8" t="s">
        <v>37</v>
      </c>
      <c r="C92" s="2" t="s">
        <v>22</v>
      </c>
      <c r="D92" s="8">
        <f>D115</f>
        <v>12821185.35</v>
      </c>
      <c r="E92" s="8">
        <f>E115</f>
        <v>35035607.14875</v>
      </c>
      <c r="F92" s="8">
        <f>F115</f>
        <v>60728385.7245</v>
      </c>
    </row>
    <row r="93" spans="2:7" ht="18" x14ac:dyDescent="0.25">
      <c r="B93" s="8" t="s">
        <v>38</v>
      </c>
      <c r="C93" s="2" t="s">
        <v>22</v>
      </c>
      <c r="D93" s="8">
        <f>$Q$111*(D90+D91+D92)</f>
        <v>1410431.3568259843</v>
      </c>
      <c r="E93" s="8">
        <f>$Q$111*(E90+E91+E92)</f>
        <v>3110623.2817846537</v>
      </c>
      <c r="F93" s="8">
        <f>$Q$111*(F90+F91+F92)</f>
        <v>5077259.5133521613</v>
      </c>
    </row>
    <row r="94" spans="2:7" ht="18" x14ac:dyDescent="0.25">
      <c r="B94" s="9" t="s">
        <v>19</v>
      </c>
      <c r="C94" s="9"/>
      <c r="D94" s="9">
        <f>SUM(D90:D93)</f>
        <v>19856026.044243611</v>
      </c>
      <c r="E94" s="9">
        <f>SUM(E90:E93)</f>
        <v>43791295.902510896</v>
      </c>
      <c r="F94" s="9">
        <f>SUM(F90:F93)</f>
        <v>71477563.68475461</v>
      </c>
    </row>
    <row r="95" spans="2:7" ht="21" customHeight="1" x14ac:dyDescent="0.25"/>
    <row r="96" spans="2:7" ht="21" customHeight="1" x14ac:dyDescent="0.25">
      <c r="B96" s="2" t="s">
        <v>85</v>
      </c>
      <c r="C96" s="2">
        <v>30000000</v>
      </c>
    </row>
    <row r="97" spans="2:28" ht="21" customHeight="1" x14ac:dyDescent="0.25">
      <c r="B97" s="2" t="s">
        <v>86</v>
      </c>
      <c r="C97" s="2">
        <v>40000000</v>
      </c>
    </row>
    <row r="98" spans="2:28" ht="21" customHeight="1" x14ac:dyDescent="0.25">
      <c r="B98" s="2" t="s">
        <v>87</v>
      </c>
      <c r="C98" s="2">
        <f>C97/600000</f>
        <v>66.666666666666671</v>
      </c>
    </row>
    <row r="99" spans="2:28" ht="21" customHeight="1" x14ac:dyDescent="0.25">
      <c r="B99" s="2" t="s">
        <v>88</v>
      </c>
      <c r="C99" s="2">
        <f>C98*800000</f>
        <v>53333333.333333336</v>
      </c>
    </row>
    <row r="100" spans="2:28" ht="21" customHeight="1" x14ac:dyDescent="0.25">
      <c r="B100" s="2" t="s">
        <v>89</v>
      </c>
      <c r="C100" s="2">
        <f>C99+C96</f>
        <v>83333333.333333343</v>
      </c>
    </row>
    <row r="101" spans="2:28" ht="21" customHeight="1" x14ac:dyDescent="0.25">
      <c r="B101" s="2" t="s">
        <v>90</v>
      </c>
      <c r="C101" s="2">
        <f>C100/B102</f>
        <v>5555555.555555556</v>
      </c>
    </row>
    <row r="102" spans="2:28" ht="22.5" customHeight="1" x14ac:dyDescent="0.25">
      <c r="B102" s="5">
        <v>15</v>
      </c>
      <c r="C102" s="5"/>
      <c r="H102" s="52"/>
      <c r="I102" s="52"/>
      <c r="J102" s="52"/>
      <c r="K102" s="52"/>
      <c r="L102" s="52"/>
      <c r="M102" s="52"/>
      <c r="N102" s="52"/>
      <c r="O102" s="52"/>
      <c r="P102" s="52"/>
      <c r="Q102" s="52">
        <v>11208</v>
      </c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 spans="2:28" ht="22.5" customHeight="1" x14ac:dyDescent="0.25">
      <c r="B103" s="5"/>
      <c r="C103" s="82" t="s">
        <v>91</v>
      </c>
      <c r="D103" s="82" t="s">
        <v>32</v>
      </c>
      <c r="E103" s="82" t="str">
        <f>D103</f>
        <v>مقدار</v>
      </c>
      <c r="F103" s="82" t="str">
        <f>E103</f>
        <v>مقدار</v>
      </c>
      <c r="Q103" s="5">
        <v>2888</v>
      </c>
    </row>
    <row r="104" spans="2:28" ht="22.5" customHeight="1" x14ac:dyDescent="0.25">
      <c r="B104" s="82" t="s">
        <v>93</v>
      </c>
      <c r="C104" s="81">
        <v>0.31</v>
      </c>
      <c r="D104" s="2">
        <f>$C$104*D47*1000</f>
        <v>131750000</v>
      </c>
      <c r="E104" s="2">
        <f>$C$104*E47*1000</f>
        <v>296437500</v>
      </c>
      <c r="F104" s="2">
        <f>$C$104*F47*1000</f>
        <v>395250000</v>
      </c>
      <c r="Q104" s="5">
        <v>3934</v>
      </c>
    </row>
    <row r="105" spans="2:28" ht="22.5" customHeight="1" x14ac:dyDescent="0.25">
      <c r="B105" s="82" t="s">
        <v>94</v>
      </c>
      <c r="C105" s="81">
        <f>239500/1700000</f>
        <v>0.14088235294117646</v>
      </c>
      <c r="D105" s="2">
        <f>$C$105*D47</f>
        <v>59874.999999999993</v>
      </c>
      <c r="E105" s="2">
        <f>$C$105*E47</f>
        <v>134718.75</v>
      </c>
      <c r="F105" s="2">
        <f>$C$105*F47</f>
        <v>179624.99999999997</v>
      </c>
      <c r="H105" s="68">
        <f>H107/690000</f>
        <v>0.13333333333333333</v>
      </c>
      <c r="Q105" s="5">
        <f>SUM(Q102:Q104)</f>
        <v>18030</v>
      </c>
    </row>
    <row r="106" spans="2:28" ht="22.5" customHeight="1" x14ac:dyDescent="0.25">
      <c r="B106" s="82" t="s">
        <v>151</v>
      </c>
      <c r="C106" s="81">
        <f>2408570/1700000</f>
        <v>1.4168058823529412</v>
      </c>
      <c r="D106" s="2">
        <f t="shared" ref="D106:F106" si="19">$C$106*D47</f>
        <v>602142.5</v>
      </c>
      <c r="E106" s="2">
        <f t="shared" si="19"/>
        <v>1354820.625</v>
      </c>
      <c r="F106" s="2">
        <f t="shared" si="19"/>
        <v>1806427.5</v>
      </c>
      <c r="H106" s="68"/>
    </row>
    <row r="107" spans="2:28" ht="22.5" customHeight="1" x14ac:dyDescent="0.25">
      <c r="B107" s="5"/>
      <c r="C107" s="5"/>
      <c r="D107" s="82" t="s">
        <v>33</v>
      </c>
      <c r="E107" s="82" t="str">
        <f>D107</f>
        <v>نرخ</v>
      </c>
      <c r="F107" s="82" t="str">
        <f>E107</f>
        <v>نرخ</v>
      </c>
      <c r="G107" s="2" t="s">
        <v>95</v>
      </c>
      <c r="H107" s="2">
        <v>92000</v>
      </c>
      <c r="I107" s="5">
        <v>119885</v>
      </c>
      <c r="J107" s="68">
        <f>H107/I107</f>
        <v>0.76740209367310341</v>
      </c>
    </row>
    <row r="108" spans="2:28" ht="22.5" customHeight="1" x14ac:dyDescent="0.25">
      <c r="B108" s="82" t="s">
        <v>93</v>
      </c>
      <c r="C108" s="5"/>
      <c r="D108" s="2">
        <f>D3*D12*D13</f>
        <v>83200</v>
      </c>
      <c r="E108" s="2">
        <f>E3*E12*E13</f>
        <v>99840</v>
      </c>
      <c r="F108" s="2">
        <f>F3*F12*F13</f>
        <v>129792</v>
      </c>
      <c r="G108" s="2" t="s">
        <v>96</v>
      </c>
      <c r="H108" s="2">
        <v>16000000</v>
      </c>
      <c r="Q108" s="5">
        <v>253826</v>
      </c>
    </row>
    <row r="109" spans="2:28" ht="22.5" customHeight="1" x14ac:dyDescent="0.25">
      <c r="B109" s="82" t="s">
        <v>94</v>
      </c>
      <c r="C109" s="5"/>
      <c r="D109" s="2">
        <f>H108*(1+D16)</f>
        <v>20800000</v>
      </c>
      <c r="E109" s="2">
        <f>D109*(1+E16)</f>
        <v>27040000</v>
      </c>
      <c r="F109" s="2">
        <f>E109*(1+F16)</f>
        <v>35152000</v>
      </c>
      <c r="Q109" s="5">
        <f>Q108-Q105</f>
        <v>235796</v>
      </c>
    </row>
    <row r="110" spans="2:28" ht="22.5" customHeight="1" x14ac:dyDescent="0.25">
      <c r="B110" s="82" t="s">
        <v>151</v>
      </c>
      <c r="C110" s="81"/>
      <c r="D110" s="2">
        <v>1020000</v>
      </c>
      <c r="E110" s="2">
        <f>D110*(1+E16)</f>
        <v>1326000</v>
      </c>
      <c r="F110" s="2">
        <f>E110*(1+F16)</f>
        <v>1723800</v>
      </c>
    </row>
    <row r="111" spans="2:28" ht="22.5" customHeight="1" x14ac:dyDescent="0.25">
      <c r="B111" s="5"/>
      <c r="C111" s="5"/>
      <c r="D111" s="82" t="s">
        <v>92</v>
      </c>
      <c r="E111" s="82" t="str">
        <f>D111</f>
        <v>مبلغ</v>
      </c>
      <c r="F111" s="82" t="str">
        <f>E111</f>
        <v>مبلغ</v>
      </c>
      <c r="Q111" s="18">
        <f>Q105/Q109</f>
        <v>7.6464401431746085E-2</v>
      </c>
    </row>
    <row r="112" spans="2:28" ht="22.5" customHeight="1" x14ac:dyDescent="0.25">
      <c r="B112" s="82" t="s">
        <v>93</v>
      </c>
      <c r="C112" s="5"/>
      <c r="D112" s="2">
        <f t="shared" ref="D112:F113" si="20">D108*D104/10^6</f>
        <v>10961600</v>
      </c>
      <c r="E112" s="2">
        <f t="shared" si="20"/>
        <v>29596320</v>
      </c>
      <c r="F112" s="2">
        <f t="shared" si="20"/>
        <v>51300288</v>
      </c>
    </row>
    <row r="113" spans="2:6" ht="22.5" customHeight="1" x14ac:dyDescent="0.25">
      <c r="B113" s="82" t="s">
        <v>94</v>
      </c>
      <c r="C113" s="5"/>
      <c r="D113" s="2">
        <f t="shared" si="20"/>
        <v>1245399.9999999998</v>
      </c>
      <c r="E113" s="2">
        <f t="shared" si="20"/>
        <v>3642795</v>
      </c>
      <c r="F113" s="2">
        <f t="shared" si="20"/>
        <v>6314177.9999999991</v>
      </c>
    </row>
    <row r="114" spans="2:6" ht="22.5" customHeight="1" x14ac:dyDescent="0.25">
      <c r="B114" s="82" t="s">
        <v>151</v>
      </c>
      <c r="C114" s="81"/>
      <c r="D114" s="2">
        <f>D110*D106/10^6</f>
        <v>614185.35</v>
      </c>
      <c r="E114" s="2">
        <f t="shared" ref="E114:F114" si="21">E110*E106/10^6</f>
        <v>1796492.1487499999</v>
      </c>
      <c r="F114" s="2">
        <f t="shared" si="21"/>
        <v>3113919.7245</v>
      </c>
    </row>
    <row r="115" spans="2:6" ht="22.5" customHeight="1" x14ac:dyDescent="0.25">
      <c r="B115" s="5"/>
      <c r="C115" s="5"/>
      <c r="D115" s="83">
        <f>SUM(D112:D114)</f>
        <v>12821185.35</v>
      </c>
      <c r="E115" s="83">
        <f t="shared" ref="E115:F115" si="22">SUM(E112:E114)</f>
        <v>35035607.14875</v>
      </c>
      <c r="F115" s="83">
        <f t="shared" si="22"/>
        <v>60728385.7245</v>
      </c>
    </row>
    <row r="116" spans="2:6" ht="22.5" customHeight="1" x14ac:dyDescent="0.25">
      <c r="B116" s="5"/>
      <c r="C116" s="5"/>
    </row>
    <row r="117" spans="2:6" x14ac:dyDescent="0.25">
      <c r="B117" s="5"/>
      <c r="C117" s="5"/>
    </row>
    <row r="118" spans="2:6" x14ac:dyDescent="0.25">
      <c r="B118" s="5"/>
      <c r="C118" s="5"/>
    </row>
    <row r="119" spans="2:6" x14ac:dyDescent="0.25">
      <c r="B119" s="5"/>
      <c r="C119" s="5"/>
    </row>
    <row r="120" spans="2:6" x14ac:dyDescent="0.25">
      <c r="B120" s="5"/>
      <c r="C120" s="5"/>
    </row>
    <row r="121" spans="2:6" x14ac:dyDescent="0.25">
      <c r="B121" s="5"/>
      <c r="C121" s="5"/>
    </row>
    <row r="122" spans="2:6" x14ac:dyDescent="0.25">
      <c r="B122" s="5"/>
      <c r="C122" s="5"/>
    </row>
    <row r="123" spans="2:6" x14ac:dyDescent="0.25">
      <c r="B123" s="5"/>
      <c r="C123" s="5"/>
    </row>
    <row r="124" spans="2:6" x14ac:dyDescent="0.25">
      <c r="B124" s="5"/>
      <c r="C124" s="5"/>
    </row>
    <row r="125" spans="2:6" x14ac:dyDescent="0.25">
      <c r="B125" s="5"/>
      <c r="C125" s="5"/>
    </row>
    <row r="126" spans="2:6" x14ac:dyDescent="0.25">
      <c r="B126" s="5"/>
      <c r="C126" s="5"/>
    </row>
    <row r="127" spans="2:6" x14ac:dyDescent="0.25">
      <c r="B127" s="5"/>
      <c r="C127" s="5"/>
    </row>
    <row r="128" spans="2:6" x14ac:dyDescent="0.25">
      <c r="B128" s="5"/>
      <c r="C128" s="5"/>
    </row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</sheetData>
  <mergeCells count="5">
    <mergeCell ref="B39:C39"/>
    <mergeCell ref="B40:C40"/>
    <mergeCell ref="B41:C41"/>
    <mergeCell ref="J3:O3"/>
    <mergeCell ref="H5:H11"/>
  </mergeCells>
  <phoneticPr fontId="22" type="noConversion"/>
  <conditionalFormatting sqref="J5:O11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87E3-36C7-4219-A7FE-E74E2ADBC379}">
  <dimension ref="B2:M34"/>
  <sheetViews>
    <sheetView rightToLeft="1" topLeftCell="A7" zoomScale="110" zoomScaleNormal="110" workbookViewId="0">
      <selection activeCell="B19" sqref="B19:C19"/>
    </sheetView>
  </sheetViews>
  <sheetFormatPr defaultRowHeight="18" x14ac:dyDescent="0.25"/>
  <cols>
    <col min="1" max="1" width="9.140625" style="98"/>
    <col min="2" max="2" width="29" style="98" customWidth="1"/>
    <col min="3" max="4" width="23.7109375" style="98" customWidth="1"/>
    <col min="5" max="5" width="24.85546875" style="98" customWidth="1"/>
    <col min="6" max="7" width="9.140625" style="98"/>
    <col min="8" max="8" width="24.85546875" style="98" bestFit="1" customWidth="1"/>
    <col min="9" max="9" width="12.5703125" style="98" customWidth="1"/>
    <col min="10" max="16384" width="9.140625" style="98"/>
  </cols>
  <sheetData>
    <row r="2" spans="2:13" ht="25.5" x14ac:dyDescent="0.25">
      <c r="B2" s="153" t="s">
        <v>98</v>
      </c>
      <c r="C2" s="165"/>
      <c r="D2" s="165"/>
      <c r="E2" s="154"/>
    </row>
    <row r="3" spans="2:13" ht="21" x14ac:dyDescent="0.25">
      <c r="B3" s="114" t="s">
        <v>28</v>
      </c>
      <c r="C3" s="115" t="s">
        <v>122</v>
      </c>
      <c r="D3" s="115" t="s">
        <v>123</v>
      </c>
      <c r="E3" s="115" t="s">
        <v>136</v>
      </c>
    </row>
    <row r="4" spans="2:13" ht="18.75" x14ac:dyDescent="0.25">
      <c r="B4" s="110" t="s">
        <v>99</v>
      </c>
      <c r="C4" s="99">
        <f>'پیش بینی'!D33</f>
        <v>19040428.891988277</v>
      </c>
      <c r="D4" s="99">
        <f>'پیش بینی'!E33</f>
        <v>62801055.514590561</v>
      </c>
      <c r="E4" s="99">
        <f>'پیش بینی'!F33</f>
        <v>116260381.15747726</v>
      </c>
      <c r="K4" s="99">
        <f t="shared" ref="K4:M10" si="0">C4/1000</f>
        <v>19040.428891988278</v>
      </c>
      <c r="L4" s="99">
        <f t="shared" si="0"/>
        <v>62801.05551459056</v>
      </c>
      <c r="M4" s="99">
        <f t="shared" si="0"/>
        <v>116260.38115747726</v>
      </c>
    </row>
    <row r="5" spans="2:13" ht="21" x14ac:dyDescent="0.25">
      <c r="B5" s="110" t="s">
        <v>100</v>
      </c>
      <c r="C5" s="100">
        <v>0.6</v>
      </c>
      <c r="D5" s="100">
        <f>C5</f>
        <v>0.6</v>
      </c>
      <c r="E5" s="100">
        <f>D5</f>
        <v>0.6</v>
      </c>
      <c r="H5" s="123" t="s">
        <v>101</v>
      </c>
      <c r="I5" s="124">
        <v>0.28000000000000003</v>
      </c>
      <c r="K5" s="99"/>
      <c r="L5" s="99"/>
      <c r="M5" s="99"/>
    </row>
    <row r="6" spans="2:13" ht="21" x14ac:dyDescent="0.25">
      <c r="B6" s="110" t="s">
        <v>102</v>
      </c>
      <c r="C6" s="99">
        <f>C5*C4</f>
        <v>11424257.335192965</v>
      </c>
      <c r="D6" s="99">
        <f>D5*D4</f>
        <v>37680633.308754332</v>
      </c>
      <c r="E6" s="99">
        <f>E5*E4</f>
        <v>69756228.69448635</v>
      </c>
      <c r="H6" s="123" t="s">
        <v>103</v>
      </c>
      <c r="I6" s="124">
        <v>0.1</v>
      </c>
      <c r="K6" s="99">
        <f t="shared" si="0"/>
        <v>11424.257335192966</v>
      </c>
      <c r="L6" s="99">
        <f t="shared" si="0"/>
        <v>37680.633308754332</v>
      </c>
      <c r="M6" s="99">
        <f t="shared" si="0"/>
        <v>69756.228694486344</v>
      </c>
    </row>
    <row r="7" spans="2:13" ht="21" x14ac:dyDescent="0.25">
      <c r="B7" s="111" t="s">
        <v>104</v>
      </c>
      <c r="C7" s="101">
        <f>C6/(1+I8)^2</f>
        <v>6268453.9562101308</v>
      </c>
      <c r="D7" s="101">
        <f>D6/(1+I8)^3</f>
        <v>15314996.010264421</v>
      </c>
      <c r="E7" s="101">
        <f>E6/(1+I8)^4</f>
        <v>21001384.144463472</v>
      </c>
      <c r="H7" s="123" t="s">
        <v>105</v>
      </c>
      <c r="I7" s="125">
        <v>0.7</v>
      </c>
      <c r="K7" s="99">
        <f t="shared" si="0"/>
        <v>6268.4539562101309</v>
      </c>
      <c r="L7" s="99">
        <f t="shared" si="0"/>
        <v>15314.996010264422</v>
      </c>
      <c r="M7" s="99">
        <f t="shared" si="0"/>
        <v>21001.384144463471</v>
      </c>
    </row>
    <row r="8" spans="2:13" ht="21" x14ac:dyDescent="0.25">
      <c r="B8" s="166" t="s">
        <v>106</v>
      </c>
      <c r="C8" s="167"/>
      <c r="D8" s="168"/>
      <c r="E8" s="99">
        <f>E6*(1+I9)/(I8-I9)</f>
        <v>306927406.25573999</v>
      </c>
      <c r="H8" s="123" t="s">
        <v>107</v>
      </c>
      <c r="I8" s="124">
        <f>I5+(I7*I6)</f>
        <v>0.35000000000000003</v>
      </c>
      <c r="K8" s="99"/>
      <c r="L8" s="99"/>
      <c r="M8" s="99">
        <f t="shared" si="0"/>
        <v>306927.40625573997</v>
      </c>
    </row>
    <row r="9" spans="2:13" ht="21" x14ac:dyDescent="0.25">
      <c r="B9" s="169" t="s">
        <v>108</v>
      </c>
      <c r="C9" s="170"/>
      <c r="D9" s="171"/>
      <c r="E9" s="112">
        <f>E8/(1+I8)^4</f>
        <v>92406090.235639289</v>
      </c>
      <c r="H9" s="123" t="s">
        <v>109</v>
      </c>
      <c r="I9" s="134">
        <v>0.1</v>
      </c>
      <c r="K9" s="99"/>
      <c r="L9" s="99"/>
      <c r="M9" s="99">
        <f t="shared" si="0"/>
        <v>92406.090235639291</v>
      </c>
    </row>
    <row r="10" spans="2:13" ht="21" x14ac:dyDescent="0.25">
      <c r="B10" s="172" t="s">
        <v>110</v>
      </c>
      <c r="C10" s="173"/>
      <c r="D10" s="174"/>
      <c r="E10" s="113">
        <f>C7+E9+D7+E7</f>
        <v>134990924.34657732</v>
      </c>
      <c r="K10" s="99"/>
      <c r="L10" s="99"/>
      <c r="M10" s="99">
        <f t="shared" si="0"/>
        <v>134990.92434657732</v>
      </c>
    </row>
    <row r="11" spans="2:13" ht="21" hidden="1" x14ac:dyDescent="0.25">
      <c r="B11" s="159" t="s">
        <v>111</v>
      </c>
      <c r="C11" s="160"/>
      <c r="D11" s="160"/>
      <c r="E11" s="102"/>
    </row>
    <row r="12" spans="2:13" ht="21" hidden="1" x14ac:dyDescent="0.25">
      <c r="B12" s="161" t="s">
        <v>112</v>
      </c>
      <c r="C12" s="162"/>
      <c r="D12" s="162"/>
      <c r="E12" s="103"/>
    </row>
    <row r="13" spans="2:13" ht="21.75" hidden="1" thickBot="1" x14ac:dyDescent="0.3">
      <c r="B13" s="163" t="s">
        <v>113</v>
      </c>
      <c r="C13" s="164"/>
      <c r="D13" s="164"/>
      <c r="E13" s="104"/>
    </row>
    <row r="14" spans="2:13" ht="24.75" hidden="1" thickBot="1" x14ac:dyDescent="0.3">
      <c r="B14" s="151" t="s">
        <v>114</v>
      </c>
      <c r="C14" s="152"/>
      <c r="D14" s="152"/>
      <c r="E14" s="105"/>
    </row>
    <row r="16" spans="2:13" ht="24.75" hidden="1" thickBot="1" x14ac:dyDescent="0.3">
      <c r="B16" s="155" t="s">
        <v>114</v>
      </c>
      <c r="C16" s="156"/>
      <c r="D16" s="156"/>
      <c r="E16" s="106"/>
    </row>
    <row r="19" spans="2:10" ht="25.5" x14ac:dyDescent="0.25">
      <c r="B19" s="153" t="s">
        <v>115</v>
      </c>
      <c r="C19" s="154"/>
    </row>
    <row r="20" spans="2:10" s="107" customFormat="1" ht="18.75" x14ac:dyDescent="0.25">
      <c r="B20" s="108" t="s">
        <v>116</v>
      </c>
      <c r="C20" s="138">
        <v>4.5</v>
      </c>
      <c r="H20" s="98"/>
      <c r="I20" s="98"/>
      <c r="J20" s="98"/>
    </row>
    <row r="21" spans="2:10" s="107" customFormat="1" ht="18.75" x14ac:dyDescent="0.25">
      <c r="B21" s="108" t="s">
        <v>130</v>
      </c>
      <c r="C21" s="109">
        <f>C20*D4/(1+I8)^3</f>
        <v>114862470.07698317</v>
      </c>
      <c r="D21" s="120">
        <f>C21/1000</f>
        <v>114862.47007698317</v>
      </c>
      <c r="H21" s="98"/>
      <c r="I21" s="98"/>
      <c r="J21" s="98"/>
    </row>
    <row r="23" spans="2:10" ht="25.5" x14ac:dyDescent="0.25">
      <c r="B23" s="153" t="s">
        <v>127</v>
      </c>
      <c r="C23" s="154"/>
      <c r="H23" s="98" t="s">
        <v>150</v>
      </c>
    </row>
    <row r="24" spans="2:10" ht="18.75" x14ac:dyDescent="0.25">
      <c r="B24" s="108" t="s">
        <v>125</v>
      </c>
      <c r="C24" s="109">
        <v>138720000</v>
      </c>
      <c r="D24" s="120">
        <f>C24/1000</f>
        <v>138720</v>
      </c>
    </row>
    <row r="25" spans="2:10" ht="18.75" x14ac:dyDescent="0.25">
      <c r="B25" s="108" t="s">
        <v>124</v>
      </c>
      <c r="C25" s="109">
        <v>800000</v>
      </c>
      <c r="D25" s="120"/>
      <c r="H25" s="130" t="s">
        <v>141</v>
      </c>
    </row>
    <row r="26" spans="2:10" ht="18.75" x14ac:dyDescent="0.25">
      <c r="B26" s="108" t="s">
        <v>126</v>
      </c>
      <c r="C26" s="109">
        <v>1700000</v>
      </c>
      <c r="D26" s="120"/>
      <c r="H26" s="131" t="s">
        <v>142</v>
      </c>
    </row>
    <row r="27" spans="2:10" ht="18.75" x14ac:dyDescent="0.25">
      <c r="B27" s="108" t="s">
        <v>137</v>
      </c>
      <c r="C27" s="109">
        <f>C24/C25*C26/(1+I8)^3</f>
        <v>119811004.42005789</v>
      </c>
      <c r="D27" s="120">
        <f>C27/1000</f>
        <v>119811.0044200579</v>
      </c>
      <c r="H27" s="132" t="s">
        <v>143</v>
      </c>
    </row>
    <row r="28" spans="2:10" x14ac:dyDescent="0.25">
      <c r="H28" s="132" t="s">
        <v>144</v>
      </c>
    </row>
    <row r="29" spans="2:10" x14ac:dyDescent="0.25">
      <c r="H29" s="132" t="s">
        <v>145</v>
      </c>
    </row>
    <row r="30" spans="2:10" ht="18.75" x14ac:dyDescent="0.25">
      <c r="B30" s="116" t="s">
        <v>117</v>
      </c>
      <c r="C30" s="117" t="s">
        <v>110</v>
      </c>
      <c r="D30" s="118" t="s">
        <v>118</v>
      </c>
      <c r="H30" s="132" t="s">
        <v>149</v>
      </c>
    </row>
    <row r="31" spans="2:10" ht="18.75" x14ac:dyDescent="0.25">
      <c r="B31" s="119" t="s">
        <v>119</v>
      </c>
      <c r="C31" s="120">
        <f>E10</f>
        <v>134990924.34657732</v>
      </c>
      <c r="D31" s="121">
        <v>0.4</v>
      </c>
      <c r="E31" s="120">
        <f t="shared" ref="E31:E33" si="1">C31/1000</f>
        <v>134990.92434657732</v>
      </c>
      <c r="H31" s="132" t="s">
        <v>146</v>
      </c>
    </row>
    <row r="32" spans="2:10" ht="18.75" x14ac:dyDescent="0.25">
      <c r="B32" s="119" t="s">
        <v>120</v>
      </c>
      <c r="C32" s="120">
        <f>C21</f>
        <v>114862470.07698317</v>
      </c>
      <c r="D32" s="121">
        <v>0.3</v>
      </c>
      <c r="E32" s="120">
        <f t="shared" si="1"/>
        <v>114862.47007698317</v>
      </c>
      <c r="H32" s="133" t="s">
        <v>147</v>
      </c>
    </row>
    <row r="33" spans="2:8" ht="18.75" x14ac:dyDescent="0.25">
      <c r="B33" s="119" t="s">
        <v>128</v>
      </c>
      <c r="C33" s="120">
        <f>C27</f>
        <v>119811004.42005789</v>
      </c>
      <c r="D33" s="121">
        <v>0.3</v>
      </c>
      <c r="E33" s="120">
        <f t="shared" si="1"/>
        <v>119811.0044200579</v>
      </c>
      <c r="H33" s="98" t="s">
        <v>148</v>
      </c>
    </row>
    <row r="34" spans="2:8" ht="21" x14ac:dyDescent="0.25">
      <c r="B34" s="122" t="s">
        <v>121</v>
      </c>
      <c r="C34" s="157">
        <f>(D31*C31)+(D32*C32)+(D33*C33)</f>
        <v>124398412.08774324</v>
      </c>
      <c r="D34" s="158"/>
      <c r="E34" s="120">
        <f>C34/1000</f>
        <v>124398.41208774324</v>
      </c>
    </row>
  </sheetData>
  <mergeCells count="12">
    <mergeCell ref="B11:D11"/>
    <mergeCell ref="B12:D12"/>
    <mergeCell ref="B13:D13"/>
    <mergeCell ref="B2:E2"/>
    <mergeCell ref="B8:D8"/>
    <mergeCell ref="B9:D9"/>
    <mergeCell ref="B10:D10"/>
    <mergeCell ref="B14:D14"/>
    <mergeCell ref="B23:C23"/>
    <mergeCell ref="B16:D16"/>
    <mergeCell ref="C34:D34"/>
    <mergeCell ref="B19:C19"/>
  </mergeCells>
  <phoneticPr fontId="2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9FF65-A6F3-4127-9868-62E9C77FCF66}">
  <dimension ref="B1:X30"/>
  <sheetViews>
    <sheetView rightToLeft="1" topLeftCell="B1" zoomScale="80" zoomScaleNormal="80" workbookViewId="0">
      <selection activeCell="G39" sqref="G39"/>
    </sheetView>
  </sheetViews>
  <sheetFormatPr defaultColWidth="13" defaultRowHeight="15" x14ac:dyDescent="0.25"/>
  <cols>
    <col min="1" max="3" width="13" style="23"/>
    <col min="4" max="4" width="13" style="36"/>
    <col min="5" max="14" width="13" style="37"/>
    <col min="15" max="15" width="13" style="38"/>
    <col min="16" max="16" width="13" style="36"/>
    <col min="17" max="17" width="13" style="37"/>
    <col min="18" max="18" width="13" style="38"/>
    <col min="19" max="19" width="13" style="23"/>
    <col min="20" max="21" width="13" style="37"/>
    <col min="22" max="22" width="13" style="23"/>
    <col min="23" max="23" width="15.140625" style="23" customWidth="1"/>
    <col min="24" max="24" width="30.5703125" style="23" customWidth="1"/>
    <col min="25" max="16384" width="13" style="23"/>
  </cols>
  <sheetData>
    <row r="1" spans="2:24" ht="59.25" customHeight="1" thickBot="1" x14ac:dyDescent="0.3">
      <c r="B1" s="19" t="s">
        <v>13</v>
      </c>
      <c r="C1" s="20"/>
      <c r="D1" s="21" t="s">
        <v>53</v>
      </c>
      <c r="E1" s="20" t="s">
        <v>54</v>
      </c>
      <c r="F1" s="20" t="s">
        <v>55</v>
      </c>
      <c r="G1" s="20" t="s">
        <v>56</v>
      </c>
      <c r="H1" s="20" t="s">
        <v>57</v>
      </c>
      <c r="I1" s="20" t="s">
        <v>58</v>
      </c>
      <c r="J1" s="20" t="s">
        <v>59</v>
      </c>
      <c r="K1" s="20" t="s">
        <v>60</v>
      </c>
      <c r="L1" s="20" t="s">
        <v>61</v>
      </c>
      <c r="M1" s="20" t="s">
        <v>62</v>
      </c>
      <c r="N1" s="20" t="s">
        <v>63</v>
      </c>
      <c r="O1" s="22" t="s">
        <v>64</v>
      </c>
      <c r="P1" s="21" t="s">
        <v>65</v>
      </c>
      <c r="Q1" s="20" t="s">
        <v>66</v>
      </c>
      <c r="R1" s="22" t="s">
        <v>67</v>
      </c>
      <c r="S1" s="20" t="s">
        <v>68</v>
      </c>
      <c r="T1" s="20" t="s">
        <v>72</v>
      </c>
      <c r="U1" s="20" t="s">
        <v>73</v>
      </c>
    </row>
    <row r="2" spans="2:24" x14ac:dyDescent="0.25">
      <c r="B2" s="24" t="s">
        <v>14</v>
      </c>
      <c r="C2" s="25" t="s">
        <v>15</v>
      </c>
      <c r="D2" s="26">
        <v>2200</v>
      </c>
      <c r="E2" s="25">
        <v>0</v>
      </c>
      <c r="F2" s="25">
        <v>72235</v>
      </c>
      <c r="G2" s="25">
        <v>83315</v>
      </c>
      <c r="H2" s="25">
        <v>76194</v>
      </c>
      <c r="I2" s="25">
        <v>52740</v>
      </c>
      <c r="J2" s="25">
        <v>60258</v>
      </c>
      <c r="K2" s="25">
        <v>43500</v>
      </c>
      <c r="L2" s="25">
        <v>73064</v>
      </c>
      <c r="M2" s="25">
        <v>65220</v>
      </c>
      <c r="N2" s="25">
        <v>77375</v>
      </c>
      <c r="O2" s="27">
        <v>34968</v>
      </c>
      <c r="P2" s="26">
        <v>1235</v>
      </c>
      <c r="Q2" s="25">
        <v>0</v>
      </c>
      <c r="R2" s="27">
        <v>49164</v>
      </c>
      <c r="S2" s="25">
        <v>83406</v>
      </c>
      <c r="T2" s="25">
        <v>82040</v>
      </c>
      <c r="U2" s="25">
        <v>75245</v>
      </c>
    </row>
    <row r="3" spans="2:24" x14ac:dyDescent="0.25">
      <c r="B3" s="28" t="s">
        <v>16</v>
      </c>
      <c r="C3" s="29" t="s">
        <v>15</v>
      </c>
      <c r="D3" s="30" t="s">
        <v>45</v>
      </c>
      <c r="E3" s="29">
        <v>0</v>
      </c>
      <c r="F3" s="29">
        <v>1803</v>
      </c>
      <c r="G3" s="29">
        <v>1415</v>
      </c>
      <c r="H3" s="29">
        <v>700</v>
      </c>
      <c r="I3" s="29">
        <v>0</v>
      </c>
      <c r="J3" s="29">
        <v>0</v>
      </c>
      <c r="K3" s="29">
        <v>0</v>
      </c>
      <c r="L3" s="29">
        <v>0</v>
      </c>
      <c r="M3" s="29">
        <v>0</v>
      </c>
      <c r="N3" s="29">
        <v>45</v>
      </c>
      <c r="O3" s="31">
        <v>687</v>
      </c>
      <c r="P3" s="30">
        <v>0</v>
      </c>
      <c r="Q3" s="29">
        <v>0</v>
      </c>
      <c r="R3" s="31">
        <v>0</v>
      </c>
      <c r="S3" s="29">
        <v>0</v>
      </c>
      <c r="T3" s="29">
        <v>630</v>
      </c>
      <c r="U3" s="29">
        <v>576</v>
      </c>
    </row>
    <row r="4" spans="2:24" x14ac:dyDescent="0.25">
      <c r="B4" s="24" t="s">
        <v>17</v>
      </c>
      <c r="C4" s="25" t="s">
        <v>15</v>
      </c>
      <c r="D4" s="26">
        <v>0</v>
      </c>
      <c r="E4" s="25">
        <v>0</v>
      </c>
      <c r="F4" s="25">
        <v>2170</v>
      </c>
      <c r="G4" s="25">
        <v>2585</v>
      </c>
      <c r="H4" s="25">
        <v>2321</v>
      </c>
      <c r="I4" s="25">
        <v>2107</v>
      </c>
      <c r="J4" s="25">
        <v>1981</v>
      </c>
      <c r="K4" s="25">
        <v>1650</v>
      </c>
      <c r="L4" s="25">
        <v>2606</v>
      </c>
      <c r="M4" s="25">
        <v>2284</v>
      </c>
      <c r="N4" s="25">
        <v>3095</v>
      </c>
      <c r="O4" s="27">
        <v>3097</v>
      </c>
      <c r="P4" s="26">
        <v>28</v>
      </c>
      <c r="Q4" s="25">
        <v>0</v>
      </c>
      <c r="R4" s="27">
        <v>1159</v>
      </c>
      <c r="S4" s="25">
        <v>2208</v>
      </c>
      <c r="T4" s="25">
        <v>2165</v>
      </c>
      <c r="U4" s="25">
        <v>1848</v>
      </c>
    </row>
    <row r="5" spans="2:24" x14ac:dyDescent="0.25">
      <c r="B5" s="32" t="s">
        <v>19</v>
      </c>
      <c r="C5" s="33"/>
      <c r="D5" s="34">
        <v>2200</v>
      </c>
      <c r="E5" s="33">
        <v>0</v>
      </c>
      <c r="F5" s="33">
        <v>76208</v>
      </c>
      <c r="G5" s="33">
        <v>87315</v>
      </c>
      <c r="H5" s="33">
        <v>79215</v>
      </c>
      <c r="I5" s="33">
        <v>54847</v>
      </c>
      <c r="J5" s="33">
        <v>62239</v>
      </c>
      <c r="K5" s="33">
        <v>45150</v>
      </c>
      <c r="L5" s="33">
        <v>75670</v>
      </c>
      <c r="M5" s="33">
        <v>67504</v>
      </c>
      <c r="N5" s="33">
        <v>80515</v>
      </c>
      <c r="O5" s="35">
        <v>38752</v>
      </c>
      <c r="P5" s="34">
        <v>1263</v>
      </c>
      <c r="Q5" s="33">
        <v>0</v>
      </c>
      <c r="R5" s="35">
        <v>50323</v>
      </c>
      <c r="S5" s="33">
        <v>85614</v>
      </c>
      <c r="T5" s="33">
        <v>84835</v>
      </c>
      <c r="U5" s="33">
        <v>77669</v>
      </c>
    </row>
    <row r="6" spans="2:24" x14ac:dyDescent="0.25"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T6" s="23"/>
      <c r="U6" s="23"/>
    </row>
    <row r="7" spans="2:24" x14ac:dyDescent="0.25"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T7" s="23"/>
      <c r="U7" s="23"/>
    </row>
    <row r="8" spans="2:24" x14ac:dyDescent="0.25"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T8" s="23"/>
      <c r="U8" s="23"/>
    </row>
    <row r="9" spans="2:24" ht="32.25" thickBot="1" x14ac:dyDescent="0.3">
      <c r="B9" s="19" t="s">
        <v>20</v>
      </c>
      <c r="C9" s="20"/>
      <c r="D9" s="21" t="s">
        <v>53</v>
      </c>
      <c r="E9" s="20" t="s">
        <v>54</v>
      </c>
      <c r="F9" s="20" t="s">
        <v>55</v>
      </c>
      <c r="G9" s="20" t="s">
        <v>56</v>
      </c>
      <c r="H9" s="20" t="s">
        <v>57</v>
      </c>
      <c r="I9" s="20" t="s">
        <v>58</v>
      </c>
      <c r="J9" s="20" t="s">
        <v>59</v>
      </c>
      <c r="K9" s="20" t="s">
        <v>60</v>
      </c>
      <c r="L9" s="20" t="s">
        <v>61</v>
      </c>
      <c r="M9" s="20" t="s">
        <v>62</v>
      </c>
      <c r="N9" s="20" t="s">
        <v>63</v>
      </c>
      <c r="O9" s="22" t="s">
        <v>64</v>
      </c>
      <c r="P9" s="21" t="s">
        <v>65</v>
      </c>
      <c r="Q9" s="20" t="s">
        <v>66</v>
      </c>
      <c r="R9" s="22" t="s">
        <v>67</v>
      </c>
      <c r="S9" s="20" t="s">
        <v>68</v>
      </c>
      <c r="T9" s="20" t="s">
        <v>72</v>
      </c>
      <c r="U9" s="20" t="s">
        <v>73</v>
      </c>
      <c r="W9" s="177" t="s">
        <v>76</v>
      </c>
      <c r="X9" s="177"/>
    </row>
    <row r="10" spans="2:24" ht="18" x14ac:dyDescent="0.45">
      <c r="B10" s="24" t="s">
        <v>14</v>
      </c>
      <c r="C10" s="25" t="s">
        <v>15</v>
      </c>
      <c r="D10" s="26">
        <v>5673</v>
      </c>
      <c r="E10" s="25">
        <v>0</v>
      </c>
      <c r="F10" s="25">
        <v>66115</v>
      </c>
      <c r="G10" s="25">
        <v>66156</v>
      </c>
      <c r="H10" s="25">
        <v>78233</v>
      </c>
      <c r="I10" s="25">
        <v>69107</v>
      </c>
      <c r="J10" s="25">
        <v>22694</v>
      </c>
      <c r="K10" s="25">
        <v>61151</v>
      </c>
      <c r="L10" s="25">
        <v>67574</v>
      </c>
      <c r="M10" s="25">
        <v>77394</v>
      </c>
      <c r="N10" s="25">
        <v>63274</v>
      </c>
      <c r="O10" s="27">
        <v>60342</v>
      </c>
      <c r="P10" s="26">
        <v>3143</v>
      </c>
      <c r="Q10" s="25">
        <v>12812</v>
      </c>
      <c r="R10" s="27">
        <v>40816</v>
      </c>
      <c r="S10" s="25">
        <v>52794</v>
      </c>
      <c r="T10" s="25">
        <v>91854</v>
      </c>
      <c r="U10" s="25">
        <v>93395</v>
      </c>
      <c r="W10" s="46">
        <f>P10+Q10+R10+S10+T10+U10</f>
        <v>294814</v>
      </c>
      <c r="X10" s="47" t="s">
        <v>20</v>
      </c>
    </row>
    <row r="11" spans="2:24" ht="18" x14ac:dyDescent="0.45">
      <c r="B11" s="28" t="s">
        <v>16</v>
      </c>
      <c r="C11" s="29" t="s">
        <v>15</v>
      </c>
      <c r="D11" s="30" t="s">
        <v>45</v>
      </c>
      <c r="E11" s="29">
        <v>0</v>
      </c>
      <c r="F11" s="29">
        <v>26</v>
      </c>
      <c r="G11" s="29">
        <v>48</v>
      </c>
      <c r="H11" s="29">
        <v>0</v>
      </c>
      <c r="I11" s="29">
        <v>25</v>
      </c>
      <c r="J11" s="29">
        <v>25</v>
      </c>
      <c r="K11" s="29">
        <v>25</v>
      </c>
      <c r="L11" s="29">
        <v>25</v>
      </c>
      <c r="M11" s="29">
        <v>50</v>
      </c>
      <c r="N11" s="29">
        <v>50</v>
      </c>
      <c r="O11" s="31">
        <v>25</v>
      </c>
      <c r="P11" s="30">
        <v>0</v>
      </c>
      <c r="Q11" s="29">
        <v>0</v>
      </c>
      <c r="R11" s="31">
        <v>0</v>
      </c>
      <c r="S11" s="29">
        <v>0</v>
      </c>
      <c r="T11" s="29">
        <v>0</v>
      </c>
      <c r="U11" s="29">
        <v>0</v>
      </c>
      <c r="W11" s="48">
        <f>P17+Q17+R17+S17+T17+U17</f>
        <v>36502573</v>
      </c>
      <c r="X11" s="49" t="s">
        <v>21</v>
      </c>
    </row>
    <row r="12" spans="2:24" ht="18" x14ac:dyDescent="0.45">
      <c r="B12" s="32" t="s">
        <v>19</v>
      </c>
      <c r="C12" s="33"/>
      <c r="D12" s="34">
        <v>5673</v>
      </c>
      <c r="E12" s="33">
        <v>0</v>
      </c>
      <c r="F12" s="33">
        <v>66141</v>
      </c>
      <c r="G12" s="33">
        <v>66204</v>
      </c>
      <c r="H12" s="33">
        <v>78233</v>
      </c>
      <c r="I12" s="33">
        <v>69132</v>
      </c>
      <c r="J12" s="33">
        <v>22719</v>
      </c>
      <c r="K12" s="33">
        <v>61176</v>
      </c>
      <c r="L12" s="33">
        <v>67599</v>
      </c>
      <c r="M12" s="33">
        <v>77444</v>
      </c>
      <c r="N12" s="33">
        <v>63324</v>
      </c>
      <c r="O12" s="35">
        <v>60367</v>
      </c>
      <c r="P12" s="34">
        <v>3143</v>
      </c>
      <c r="Q12" s="33">
        <v>12812</v>
      </c>
      <c r="R12" s="35">
        <v>40816</v>
      </c>
      <c r="S12" s="33">
        <v>52794</v>
      </c>
      <c r="T12" s="33">
        <v>91854</v>
      </c>
      <c r="U12" s="33">
        <v>93395</v>
      </c>
      <c r="W12" s="48">
        <f>W11*10^6/W10</f>
        <v>123815602.37980556</v>
      </c>
      <c r="X12" s="49" t="s">
        <v>23</v>
      </c>
    </row>
    <row r="13" spans="2:24" ht="18" x14ac:dyDescent="0.45"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T13" s="23"/>
      <c r="U13" s="23"/>
      <c r="W13" s="48"/>
      <c r="X13" s="49"/>
    </row>
    <row r="14" spans="2:24" ht="18" x14ac:dyDescent="0.45"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T14" s="23"/>
      <c r="U14" s="23"/>
      <c r="W14" s="48">
        <v>180140103.53798482</v>
      </c>
      <c r="X14" s="49" t="s">
        <v>77</v>
      </c>
    </row>
    <row r="15" spans="2:24" ht="18.75" thickBot="1" x14ac:dyDescent="0.5"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T15" s="23"/>
      <c r="U15" s="23"/>
      <c r="W15" s="50">
        <f>W12/W14</f>
        <v>0.68732947271620437</v>
      </c>
      <c r="X15" s="51" t="s">
        <v>75</v>
      </c>
    </row>
    <row r="16" spans="2:24" ht="32.25" thickBot="1" x14ac:dyDescent="0.3">
      <c r="B16" s="19" t="s">
        <v>21</v>
      </c>
      <c r="C16" s="20"/>
      <c r="D16" s="21" t="s">
        <v>53</v>
      </c>
      <c r="E16" s="20" t="s">
        <v>54</v>
      </c>
      <c r="F16" s="20" t="s">
        <v>55</v>
      </c>
      <c r="G16" s="20" t="s">
        <v>56</v>
      </c>
      <c r="H16" s="20" t="s">
        <v>57</v>
      </c>
      <c r="I16" s="20" t="s">
        <v>58</v>
      </c>
      <c r="J16" s="20" t="s">
        <v>59</v>
      </c>
      <c r="K16" s="20" t="s">
        <v>60</v>
      </c>
      <c r="L16" s="20" t="s">
        <v>61</v>
      </c>
      <c r="M16" s="20" t="s">
        <v>62</v>
      </c>
      <c r="N16" s="20" t="s">
        <v>63</v>
      </c>
      <c r="O16" s="22" t="s">
        <v>64</v>
      </c>
      <c r="P16" s="21" t="s">
        <v>65</v>
      </c>
      <c r="Q16" s="20" t="s">
        <v>66</v>
      </c>
      <c r="R16" s="22" t="s">
        <v>67</v>
      </c>
      <c r="S16" s="20" t="s">
        <v>68</v>
      </c>
      <c r="T16" s="20" t="s">
        <v>72</v>
      </c>
      <c r="U16" s="20" t="s">
        <v>73</v>
      </c>
    </row>
    <row r="17" spans="2:23" x14ac:dyDescent="0.25">
      <c r="B17" s="24" t="s">
        <v>14</v>
      </c>
      <c r="C17" s="25" t="s">
        <v>22</v>
      </c>
      <c r="D17" s="26">
        <v>539201</v>
      </c>
      <c r="E17" s="25">
        <v>0</v>
      </c>
      <c r="F17" s="25">
        <v>6364307</v>
      </c>
      <c r="G17" s="25">
        <v>6791453</v>
      </c>
      <c r="H17" s="25">
        <v>8092276</v>
      </c>
      <c r="I17" s="25">
        <v>6652372</v>
      </c>
      <c r="J17" s="25">
        <v>1957591</v>
      </c>
      <c r="K17" s="25">
        <v>4904199</v>
      </c>
      <c r="L17" s="25">
        <v>5178264</v>
      </c>
      <c r="M17" s="25">
        <v>6114094</v>
      </c>
      <c r="N17" s="25">
        <v>5512854</v>
      </c>
      <c r="O17" s="27">
        <v>5484047</v>
      </c>
      <c r="P17" s="26">
        <v>361664</v>
      </c>
      <c r="Q17" s="25">
        <v>1578833</v>
      </c>
      <c r="R17" s="27">
        <v>5351213</v>
      </c>
      <c r="S17" s="25">
        <v>5889190</v>
      </c>
      <c r="T17" s="25">
        <v>11367082</v>
      </c>
      <c r="U17" s="25">
        <v>11954591</v>
      </c>
    </row>
    <row r="18" spans="2:23" x14ac:dyDescent="0.25">
      <c r="B18" s="28" t="s">
        <v>16</v>
      </c>
      <c r="C18" s="29" t="s">
        <v>22</v>
      </c>
      <c r="D18" s="30" t="s">
        <v>45</v>
      </c>
      <c r="E18" s="29">
        <v>0</v>
      </c>
      <c r="F18" s="29">
        <v>986</v>
      </c>
      <c r="G18" s="29">
        <v>1677</v>
      </c>
      <c r="H18" s="29">
        <v>0</v>
      </c>
      <c r="I18" s="29">
        <v>875</v>
      </c>
      <c r="J18" s="29">
        <v>875</v>
      </c>
      <c r="K18" s="29">
        <v>875</v>
      </c>
      <c r="L18" s="29">
        <v>875</v>
      </c>
      <c r="M18" s="29">
        <v>1750</v>
      </c>
      <c r="N18" s="29">
        <v>1750</v>
      </c>
      <c r="O18" s="31">
        <v>876</v>
      </c>
      <c r="P18" s="30">
        <v>0</v>
      </c>
      <c r="Q18" s="29">
        <v>0</v>
      </c>
      <c r="R18" s="31">
        <v>0</v>
      </c>
      <c r="S18" s="29">
        <v>0</v>
      </c>
      <c r="T18" s="29">
        <v>0</v>
      </c>
      <c r="U18" s="29">
        <v>0</v>
      </c>
    </row>
    <row r="19" spans="2:23" x14ac:dyDescent="0.25">
      <c r="B19" s="32" t="s">
        <v>19</v>
      </c>
      <c r="C19" s="33"/>
      <c r="D19" s="34">
        <v>539201</v>
      </c>
      <c r="E19" s="33">
        <v>0</v>
      </c>
      <c r="F19" s="33">
        <v>6365293</v>
      </c>
      <c r="G19" s="33">
        <v>6793130</v>
      </c>
      <c r="H19" s="33">
        <v>8092276</v>
      </c>
      <c r="I19" s="33">
        <v>6653247</v>
      </c>
      <c r="J19" s="33">
        <v>1958466</v>
      </c>
      <c r="K19" s="33">
        <v>4905074</v>
      </c>
      <c r="L19" s="33">
        <v>5179139</v>
      </c>
      <c r="M19" s="33">
        <v>6115844</v>
      </c>
      <c r="N19" s="33">
        <v>5514604</v>
      </c>
      <c r="O19" s="35">
        <v>5484923</v>
      </c>
      <c r="P19" s="34">
        <v>361664</v>
      </c>
      <c r="Q19" s="33">
        <v>1578833</v>
      </c>
      <c r="R19" s="35">
        <v>5351213</v>
      </c>
      <c r="S19" s="33">
        <v>5889190</v>
      </c>
      <c r="T19" s="33">
        <v>11367082</v>
      </c>
      <c r="U19" s="33">
        <v>11954591</v>
      </c>
    </row>
    <row r="20" spans="2:23" x14ac:dyDescent="0.25"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T20" s="23"/>
      <c r="U20" s="23"/>
    </row>
    <row r="21" spans="2:23" x14ac:dyDescent="0.25"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T21" s="23"/>
      <c r="U21" s="23"/>
    </row>
    <row r="22" spans="2:23" x14ac:dyDescent="0.25"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T22" s="23"/>
      <c r="U22" s="23"/>
    </row>
    <row r="23" spans="2:23" ht="32.25" thickBot="1" x14ac:dyDescent="0.3">
      <c r="B23" s="19" t="s">
        <v>69</v>
      </c>
      <c r="C23" s="20"/>
      <c r="D23" s="21" t="s">
        <v>53</v>
      </c>
      <c r="E23" s="20" t="s">
        <v>54</v>
      </c>
      <c r="F23" s="20" t="s">
        <v>55</v>
      </c>
      <c r="G23" s="20" t="s">
        <v>56</v>
      </c>
      <c r="H23" s="20" t="s">
        <v>57</v>
      </c>
      <c r="I23" s="20" t="s">
        <v>58</v>
      </c>
      <c r="J23" s="20" t="s">
        <v>59</v>
      </c>
      <c r="K23" s="20" t="s">
        <v>60</v>
      </c>
      <c r="L23" s="20" t="s">
        <v>61</v>
      </c>
      <c r="M23" s="20" t="s">
        <v>62</v>
      </c>
      <c r="N23" s="20" t="s">
        <v>63</v>
      </c>
      <c r="O23" s="22" t="s">
        <v>64</v>
      </c>
      <c r="P23" s="21" t="s">
        <v>65</v>
      </c>
      <c r="Q23" s="20" t="s">
        <v>66</v>
      </c>
      <c r="R23" s="22" t="s">
        <v>67</v>
      </c>
      <c r="S23" s="20" t="s">
        <v>68</v>
      </c>
      <c r="T23" s="39" t="s">
        <v>72</v>
      </c>
      <c r="U23" s="39" t="s">
        <v>73</v>
      </c>
    </row>
    <row r="24" spans="2:23" x14ac:dyDescent="0.25">
      <c r="B24" s="24" t="s">
        <v>14</v>
      </c>
      <c r="C24" s="25" t="s">
        <v>70</v>
      </c>
      <c r="D24" s="26">
        <v>95046889</v>
      </c>
      <c r="E24" s="25" t="s">
        <v>45</v>
      </c>
      <c r="F24" s="25">
        <v>96261166</v>
      </c>
      <c r="G24" s="25">
        <v>102658156</v>
      </c>
      <c r="H24" s="25">
        <v>103438140</v>
      </c>
      <c r="I24" s="25">
        <v>96261913</v>
      </c>
      <c r="J24" s="25">
        <v>86260289</v>
      </c>
      <c r="K24" s="25">
        <v>80198182</v>
      </c>
      <c r="L24" s="25">
        <v>76631012</v>
      </c>
      <c r="M24" s="25">
        <v>78999587</v>
      </c>
      <c r="N24" s="25">
        <v>87126687</v>
      </c>
      <c r="O24" s="27">
        <v>90882752</v>
      </c>
      <c r="P24" s="26">
        <v>115069679</v>
      </c>
      <c r="Q24" s="25">
        <v>123230799</v>
      </c>
      <c r="R24" s="27">
        <v>131105767</v>
      </c>
      <c r="S24" s="25">
        <v>111550366</v>
      </c>
      <c r="T24" s="40">
        <v>123751628</v>
      </c>
      <c r="U24" s="40">
        <v>128000332</v>
      </c>
    </row>
    <row r="25" spans="2:23" x14ac:dyDescent="0.25">
      <c r="B25" s="28" t="s">
        <v>16</v>
      </c>
      <c r="C25" s="29" t="s">
        <v>71</v>
      </c>
      <c r="D25" s="30" t="s">
        <v>45</v>
      </c>
      <c r="E25" s="29" t="s">
        <v>45</v>
      </c>
      <c r="F25" s="29">
        <v>37923077</v>
      </c>
      <c r="G25" s="29">
        <v>34937500</v>
      </c>
      <c r="H25" s="29" t="s">
        <v>45</v>
      </c>
      <c r="I25" s="29">
        <v>35000000</v>
      </c>
      <c r="J25" s="29">
        <v>35000000</v>
      </c>
      <c r="K25" s="29">
        <v>35000000</v>
      </c>
      <c r="L25" s="29">
        <v>35000000</v>
      </c>
      <c r="M25" s="29">
        <v>35000000</v>
      </c>
      <c r="N25" s="29">
        <v>35000000</v>
      </c>
      <c r="O25" s="31">
        <v>35040000</v>
      </c>
      <c r="P25" s="30" t="s">
        <v>45</v>
      </c>
      <c r="Q25" s="29" t="s">
        <v>45</v>
      </c>
      <c r="R25" s="31" t="s">
        <v>45</v>
      </c>
      <c r="S25" s="29" t="s">
        <v>45</v>
      </c>
      <c r="T25" s="29"/>
      <c r="U25" s="29"/>
    </row>
    <row r="28" spans="2:23" ht="17.25" x14ac:dyDescent="0.4">
      <c r="B28" s="175" t="s">
        <v>74</v>
      </c>
      <c r="C28" s="175"/>
      <c r="D28" s="175"/>
      <c r="E28" s="175"/>
      <c r="F28" s="175"/>
      <c r="G28" s="41">
        <v>147596061.78990778</v>
      </c>
      <c r="H28" s="41">
        <v>147523670.17892873</v>
      </c>
      <c r="I28" s="41">
        <v>165487957.02066919</v>
      </c>
      <c r="J28" s="41">
        <v>154910007.76538938</v>
      </c>
      <c r="K28" s="41">
        <v>139801752.2575624</v>
      </c>
      <c r="L28" s="41">
        <v>121700507.57024564</v>
      </c>
      <c r="M28" s="41">
        <v>121931819.17626688</v>
      </c>
      <c r="N28" s="41">
        <v>129247132.4528386</v>
      </c>
      <c r="O28" s="42">
        <v>132472155.2176193</v>
      </c>
      <c r="P28" s="43">
        <v>132819466.91997792</v>
      </c>
      <c r="Q28" s="41">
        <v>140982474.5191088</v>
      </c>
      <c r="R28" s="42">
        <v>181431282.07119867</v>
      </c>
      <c r="S28" s="44">
        <v>197755968.20398998</v>
      </c>
      <c r="T28" s="41">
        <v>204628611.23064467</v>
      </c>
      <c r="U28" s="41">
        <v>207536632.34442532</v>
      </c>
      <c r="V28" s="23">
        <v>410000</v>
      </c>
      <c r="W28" s="23">
        <f>U28/V28</f>
        <v>506.18690815713495</v>
      </c>
    </row>
    <row r="30" spans="2:23" ht="22.5" x14ac:dyDescent="0.55000000000000004">
      <c r="B30" s="176" t="s">
        <v>75</v>
      </c>
      <c r="C30" s="176"/>
      <c r="D30" s="176"/>
      <c r="E30" s="176"/>
      <c r="F30" s="176"/>
      <c r="G30" s="45">
        <f>G24/G28</f>
        <v>0.69553452006142547</v>
      </c>
      <c r="H30" s="45">
        <f t="shared" ref="H30:U30" si="0">H24/H28</f>
        <v>0.70116300573692203</v>
      </c>
      <c r="I30" s="45">
        <f t="shared" si="0"/>
        <v>0.58168530649016981</v>
      </c>
      <c r="J30" s="45">
        <f t="shared" si="0"/>
        <v>0.55684129285333761</v>
      </c>
      <c r="K30" s="45">
        <f t="shared" si="0"/>
        <v>0.57365648645267087</v>
      </c>
      <c r="L30" s="45">
        <f t="shared" si="0"/>
        <v>0.62966879538911136</v>
      </c>
      <c r="M30" s="45">
        <f t="shared" si="0"/>
        <v>0.6478996830662942</v>
      </c>
      <c r="N30" s="45">
        <f t="shared" si="0"/>
        <v>0.67410924595787014</v>
      </c>
      <c r="O30" s="45">
        <f t="shared" si="0"/>
        <v>0.68605173555681875</v>
      </c>
      <c r="P30" s="45">
        <f t="shared" si="0"/>
        <v>0.8663615482610546</v>
      </c>
      <c r="Q30" s="45">
        <f t="shared" si="0"/>
        <v>0.87408594167707887</v>
      </c>
      <c r="R30" s="45">
        <f t="shared" si="0"/>
        <v>0.72261941547957786</v>
      </c>
      <c r="S30" s="45">
        <f t="shared" si="0"/>
        <v>0.56408090745930428</v>
      </c>
      <c r="T30" s="45">
        <f t="shared" si="0"/>
        <v>0.60476209683363802</v>
      </c>
      <c r="U30" s="45">
        <f t="shared" si="0"/>
        <v>0.61676018616112149</v>
      </c>
    </row>
  </sheetData>
  <mergeCells count="3">
    <mergeCell ref="B28:F28"/>
    <mergeCell ref="B30:F30"/>
    <mergeCell ref="W9:X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پیش بینی</vt:lpstr>
      <vt:lpstr>ارزشگذاری</vt:lpstr>
      <vt:lpstr>ماااهانه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Sahar Shokri</dc:creator>
  <cp:lastModifiedBy>Sahar Shokri</cp:lastModifiedBy>
  <dcterms:created xsi:type="dcterms:W3CDTF">2023-05-14T09:21:41Z</dcterms:created>
  <dcterms:modified xsi:type="dcterms:W3CDTF">2025-05-19T09:12:22Z</dcterms:modified>
</cp:coreProperties>
</file>