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D:\01-Data\Mahdi\Excel\me\"/>
    </mc:Choice>
  </mc:AlternateContent>
  <xr:revisionPtr revIDLastSave="0" documentId="13_ncr:1_{F8EE64AD-D37A-4E4E-8E29-26552190483B}" xr6:coauthVersionLast="47" xr6:coauthVersionMax="47" xr10:uidLastSave="{00000000-0000-0000-0000-000000000000}"/>
  <bookViews>
    <workbookView xWindow="-108" yWindow="-108" windowWidth="23256" windowHeight="12456" tabRatio="592" activeTab="3" xr2:uid="{00000000-000D-0000-FFFF-FFFF00000000}"/>
  </bookViews>
  <sheets>
    <sheet name="نقشه های شتاب طیفی" sheetId="8" r:id="rId1"/>
    <sheet name="2راهنما" sheetId="4" r:id="rId2"/>
    <sheet name="(2800-V4)-۲ضریب زلزله" sheetId="3" r:id="rId3"/>
    <sheet name="(2800-V5)-۲ضریب زلزله " sheetId="7" r:id="rId4"/>
  </sheets>
  <definedNames>
    <definedName name="_xlnm.Print_Area" localSheetId="2">'(2800-V4)-۲ضریب زلزله'!$B$12:$AK$50</definedName>
    <definedName name="_xlnm.Print_Area" localSheetId="3">'(2800-V5)-۲ضریب زلزله '!$B$13:$AP$184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L86" i="7" l="1"/>
  <c r="AL84" i="7"/>
  <c r="AK22" i="7"/>
  <c r="AO22" i="7"/>
  <c r="AC21" i="7"/>
  <c r="B21" i="7"/>
  <c r="AE171" i="7"/>
  <c r="B184" i="7"/>
  <c r="B144" i="7"/>
  <c r="B77" i="7"/>
  <c r="B13" i="7"/>
  <c r="BB310" i="7"/>
  <c r="BB311" i="7"/>
  <c r="BB312" i="7"/>
  <c r="BB313" i="7"/>
  <c r="BB314" i="7"/>
  <c r="BB315" i="7"/>
  <c r="BB316" i="7"/>
  <c r="BB317" i="7"/>
  <c r="BB318" i="7"/>
  <c r="BB319" i="7"/>
  <c r="BB320" i="7"/>
  <c r="BB321" i="7"/>
  <c r="BB322" i="7"/>
  <c r="BB323" i="7"/>
  <c r="BB324" i="7"/>
  <c r="BB325" i="7"/>
  <c r="BB326" i="7"/>
  <c r="BB327" i="7"/>
  <c r="BB328" i="7"/>
  <c r="BB329" i="7"/>
  <c r="BB330" i="7"/>
  <c r="BB331" i="7"/>
  <c r="BB332" i="7"/>
  <c r="BB333" i="7"/>
  <c r="BB334" i="7"/>
  <c r="BB335" i="7"/>
  <c r="BB336" i="7"/>
  <c r="BB337" i="7"/>
  <c r="BB338" i="7"/>
  <c r="BB339" i="7"/>
  <c r="BB340" i="7"/>
  <c r="BB341" i="7"/>
  <c r="BB342" i="7"/>
  <c r="BB343" i="7"/>
  <c r="BB344" i="7"/>
  <c r="BB345" i="7"/>
  <c r="BB346" i="7"/>
  <c r="BB347" i="7"/>
  <c r="BB348" i="7"/>
  <c r="BB349" i="7"/>
  <c r="BB350" i="7"/>
  <c r="BB351" i="7"/>
  <c r="BB352" i="7"/>
  <c r="BB353" i="7"/>
  <c r="BB354" i="7"/>
  <c r="BB355" i="7"/>
  <c r="BB356" i="7"/>
  <c r="BB357" i="7"/>
  <c r="BB358" i="7"/>
  <c r="BB359" i="7"/>
  <c r="BB360" i="7"/>
  <c r="BB361" i="7"/>
  <c r="BB362" i="7"/>
  <c r="BB363" i="7"/>
  <c r="BB364" i="7"/>
  <c r="BB365" i="7"/>
  <c r="BB366" i="7"/>
  <c r="BB367" i="7"/>
  <c r="BB368" i="7"/>
  <c r="BB369" i="7"/>
  <c r="BB370" i="7"/>
  <c r="BB371" i="7"/>
  <c r="BB372" i="7"/>
  <c r="BB373" i="7"/>
  <c r="BB374" i="7"/>
  <c r="BB375" i="7"/>
  <c r="BB376" i="7"/>
  <c r="BB377" i="7"/>
  <c r="BB378" i="7"/>
  <c r="BB379" i="7"/>
  <c r="BB380" i="7"/>
  <c r="BB381" i="7"/>
  <c r="BB382" i="7"/>
  <c r="BB383" i="7"/>
  <c r="BB384" i="7"/>
  <c r="BB385" i="7"/>
  <c r="BB386" i="7"/>
  <c r="BB387" i="7"/>
  <c r="BB388" i="7"/>
  <c r="BB389" i="7"/>
  <c r="BB390" i="7"/>
  <c r="BB391" i="7"/>
  <c r="BB392" i="7"/>
  <c r="BB393" i="7"/>
  <c r="BB394" i="7"/>
  <c r="BB395" i="7"/>
  <c r="BB396" i="7"/>
  <c r="BB397" i="7"/>
  <c r="BB398" i="7"/>
  <c r="BB399" i="7"/>
  <c r="BB400" i="7"/>
  <c r="BB401" i="7"/>
  <c r="BB402" i="7"/>
  <c r="BB403" i="7"/>
  <c r="BB404" i="7"/>
  <c r="BB290" i="7"/>
  <c r="BB291" i="7"/>
  <c r="BB292" i="7"/>
  <c r="BB293" i="7"/>
  <c r="BB294" i="7"/>
  <c r="BB295" i="7"/>
  <c r="BB296" i="7"/>
  <c r="BB297" i="7"/>
  <c r="BB298" i="7"/>
  <c r="BB299" i="7"/>
  <c r="BB300" i="7"/>
  <c r="BB301" i="7"/>
  <c r="BB302" i="7"/>
  <c r="BB303" i="7"/>
  <c r="BB304" i="7"/>
  <c r="BB305" i="7"/>
  <c r="BB306" i="7"/>
  <c r="BB307" i="7"/>
  <c r="BB308" i="7"/>
  <c r="BB309" i="7"/>
  <c r="BB8" i="7"/>
  <c r="BB9" i="7"/>
  <c r="BB10" i="7"/>
  <c r="BB11" i="7"/>
  <c r="BB12" i="7"/>
  <c r="BB13" i="7"/>
  <c r="BB14" i="7"/>
  <c r="BB15" i="7"/>
  <c r="BB16" i="7"/>
  <c r="BB17" i="7"/>
  <c r="BB18" i="7"/>
  <c r="BB19" i="7"/>
  <c r="BB20" i="7"/>
  <c r="BB21" i="7"/>
  <c r="BB22" i="7"/>
  <c r="BB23" i="7"/>
  <c r="BB24" i="7"/>
  <c r="BB25" i="7"/>
  <c r="BB26" i="7"/>
  <c r="BB27" i="7"/>
  <c r="BB28" i="7"/>
  <c r="BB29" i="7"/>
  <c r="BB30" i="7"/>
  <c r="BB31" i="7"/>
  <c r="BB32" i="7"/>
  <c r="BB33" i="7"/>
  <c r="BB34" i="7"/>
  <c r="BB35" i="7"/>
  <c r="BB36" i="7"/>
  <c r="BB37" i="7"/>
  <c r="BB38" i="7"/>
  <c r="BB39" i="7"/>
  <c r="BB40" i="7"/>
  <c r="BB41" i="7"/>
  <c r="BB42" i="7"/>
  <c r="BB43" i="7"/>
  <c r="BB44" i="7"/>
  <c r="BB45" i="7"/>
  <c r="BB46" i="7"/>
  <c r="BB47" i="7"/>
  <c r="BB48" i="7"/>
  <c r="BB49" i="7"/>
  <c r="BB50" i="7"/>
  <c r="BB51" i="7"/>
  <c r="BB52" i="7"/>
  <c r="BB53" i="7"/>
  <c r="BB54" i="7"/>
  <c r="BB55" i="7"/>
  <c r="BB56" i="7"/>
  <c r="BB57" i="7"/>
  <c r="BB58" i="7"/>
  <c r="BB59" i="7"/>
  <c r="BB60" i="7"/>
  <c r="BB61" i="7"/>
  <c r="BB62" i="7"/>
  <c r="BB63" i="7"/>
  <c r="BB64" i="7"/>
  <c r="BB65" i="7"/>
  <c r="BB66" i="7"/>
  <c r="BB67" i="7"/>
  <c r="BB68" i="7"/>
  <c r="BB69" i="7"/>
  <c r="BB70" i="7"/>
  <c r="BB71" i="7"/>
  <c r="BB72" i="7"/>
  <c r="BB73" i="7"/>
  <c r="BB74" i="7"/>
  <c r="BB75" i="7"/>
  <c r="BB76" i="7"/>
  <c r="BB77" i="7"/>
  <c r="BB78" i="7"/>
  <c r="BB79" i="7"/>
  <c r="BB80" i="7"/>
  <c r="BB81" i="7"/>
  <c r="BB82" i="7"/>
  <c r="BB83" i="7"/>
  <c r="BB84" i="7"/>
  <c r="BB85" i="7"/>
  <c r="BB86" i="7"/>
  <c r="BB87" i="7"/>
  <c r="BB88" i="7"/>
  <c r="BB89" i="7"/>
  <c r="BB90" i="7"/>
  <c r="BB91" i="7"/>
  <c r="BB92" i="7"/>
  <c r="BB93" i="7"/>
  <c r="BB94" i="7"/>
  <c r="BB95" i="7"/>
  <c r="BB96" i="7"/>
  <c r="BB97" i="7"/>
  <c r="BB98" i="7"/>
  <c r="BB99" i="7"/>
  <c r="BB100" i="7"/>
  <c r="BB101" i="7"/>
  <c r="BB102" i="7"/>
  <c r="BB103" i="7"/>
  <c r="BB104" i="7"/>
  <c r="BB105" i="7"/>
  <c r="BB106" i="7"/>
  <c r="BB107" i="7"/>
  <c r="BB108" i="7"/>
  <c r="BB109" i="7"/>
  <c r="BB110" i="7"/>
  <c r="BB111" i="7"/>
  <c r="BB112" i="7"/>
  <c r="BB113" i="7"/>
  <c r="BB114" i="7"/>
  <c r="BB115" i="7"/>
  <c r="BB116" i="7"/>
  <c r="BB117" i="7"/>
  <c r="BB118" i="7"/>
  <c r="BB119" i="7"/>
  <c r="BB120" i="7"/>
  <c r="BB121" i="7"/>
  <c r="BB122" i="7"/>
  <c r="BB123" i="7"/>
  <c r="BB124" i="7"/>
  <c r="BB125" i="7"/>
  <c r="BB126" i="7"/>
  <c r="BB127" i="7"/>
  <c r="BB128" i="7"/>
  <c r="BB129" i="7"/>
  <c r="BB130" i="7"/>
  <c r="BB131" i="7"/>
  <c r="BB132" i="7"/>
  <c r="BB133" i="7"/>
  <c r="BB134" i="7"/>
  <c r="BB135" i="7"/>
  <c r="BB136" i="7"/>
  <c r="BB137" i="7"/>
  <c r="BB138" i="7"/>
  <c r="BB139" i="7"/>
  <c r="BB140" i="7"/>
  <c r="BB141" i="7"/>
  <c r="BB142" i="7"/>
  <c r="BB143" i="7"/>
  <c r="BB144" i="7"/>
  <c r="BB145" i="7"/>
  <c r="BB146" i="7"/>
  <c r="BB147" i="7"/>
  <c r="BB148" i="7"/>
  <c r="BB149" i="7"/>
  <c r="BB150" i="7"/>
  <c r="BB151" i="7"/>
  <c r="BB152" i="7"/>
  <c r="BB153" i="7"/>
  <c r="BB154" i="7"/>
  <c r="BB155" i="7"/>
  <c r="BB156" i="7"/>
  <c r="BB157" i="7"/>
  <c r="BB158" i="7"/>
  <c r="BB159" i="7"/>
  <c r="BB160" i="7"/>
  <c r="BB161" i="7"/>
  <c r="BB162" i="7"/>
  <c r="BB163" i="7"/>
  <c r="BB164" i="7"/>
  <c r="BB165" i="7"/>
  <c r="BB166" i="7"/>
  <c r="BB167" i="7"/>
  <c r="BB168" i="7"/>
  <c r="BB169" i="7"/>
  <c r="BB170" i="7"/>
  <c r="BB171" i="7"/>
  <c r="BB172" i="7"/>
  <c r="BB173" i="7"/>
  <c r="BB174" i="7"/>
  <c r="BB175" i="7"/>
  <c r="BB176" i="7"/>
  <c r="BB177" i="7"/>
  <c r="BB178" i="7"/>
  <c r="BB179" i="7"/>
  <c r="BB180" i="7"/>
  <c r="BB181" i="7"/>
  <c r="BB182" i="7"/>
  <c r="BB183" i="7"/>
  <c r="BB184" i="7"/>
  <c r="BB185" i="7"/>
  <c r="BB186" i="7"/>
  <c r="BB187" i="7"/>
  <c r="BB188" i="7"/>
  <c r="BB189" i="7"/>
  <c r="BB190" i="7"/>
  <c r="BB191" i="7"/>
  <c r="BB192" i="7"/>
  <c r="BB193" i="7"/>
  <c r="BB194" i="7"/>
  <c r="BB195" i="7"/>
  <c r="BB196" i="7"/>
  <c r="BB197" i="7"/>
  <c r="BB198" i="7"/>
  <c r="BB199" i="7"/>
  <c r="BB200" i="7"/>
  <c r="BB201" i="7"/>
  <c r="BB202" i="7"/>
  <c r="BB203" i="7"/>
  <c r="BB204" i="7"/>
  <c r="BB205" i="7"/>
  <c r="BB206" i="7"/>
  <c r="BB207" i="7"/>
  <c r="BB208" i="7"/>
  <c r="BB209" i="7"/>
  <c r="BB210" i="7"/>
  <c r="BB211" i="7"/>
  <c r="BB212" i="7"/>
  <c r="BB213" i="7"/>
  <c r="BB214" i="7"/>
  <c r="BB215" i="7"/>
  <c r="BB216" i="7"/>
  <c r="BB217" i="7"/>
  <c r="BB218" i="7"/>
  <c r="BB219" i="7"/>
  <c r="BB220" i="7"/>
  <c r="BB221" i="7"/>
  <c r="BB222" i="7"/>
  <c r="BB223" i="7"/>
  <c r="BB224" i="7"/>
  <c r="BB225" i="7"/>
  <c r="BB226" i="7"/>
  <c r="BB227" i="7"/>
  <c r="BB228" i="7"/>
  <c r="BB229" i="7"/>
  <c r="BB230" i="7"/>
  <c r="BB231" i="7"/>
  <c r="BB232" i="7"/>
  <c r="BB233" i="7"/>
  <c r="BB234" i="7"/>
  <c r="BB235" i="7"/>
  <c r="BB236" i="7"/>
  <c r="BB237" i="7"/>
  <c r="BB238" i="7"/>
  <c r="BB239" i="7"/>
  <c r="BB240" i="7"/>
  <c r="BB241" i="7"/>
  <c r="BB242" i="7"/>
  <c r="BB243" i="7"/>
  <c r="BB244" i="7"/>
  <c r="BB245" i="7"/>
  <c r="BB246" i="7"/>
  <c r="BB247" i="7"/>
  <c r="BB248" i="7"/>
  <c r="BB249" i="7"/>
  <c r="BB250" i="7"/>
  <c r="BB251" i="7"/>
  <c r="BB252" i="7"/>
  <c r="BB253" i="7"/>
  <c r="BB254" i="7"/>
  <c r="BB255" i="7"/>
  <c r="BB256" i="7"/>
  <c r="BB257" i="7"/>
  <c r="BB258" i="7"/>
  <c r="BB259" i="7"/>
  <c r="BB260" i="7"/>
  <c r="BB261" i="7"/>
  <c r="BB262" i="7"/>
  <c r="BB263" i="7"/>
  <c r="BB264" i="7"/>
  <c r="BB265" i="7"/>
  <c r="BB266" i="7"/>
  <c r="BB267" i="7"/>
  <c r="BB268" i="7"/>
  <c r="BB269" i="7"/>
  <c r="BB270" i="7"/>
  <c r="BB271" i="7"/>
  <c r="BB272" i="7"/>
  <c r="BB273" i="7"/>
  <c r="BB274" i="7"/>
  <c r="BB275" i="7"/>
  <c r="BB276" i="7"/>
  <c r="BB277" i="7"/>
  <c r="BB278" i="7"/>
  <c r="BB279" i="7"/>
  <c r="BB280" i="7"/>
  <c r="BB281" i="7"/>
  <c r="BB282" i="7"/>
  <c r="BB283" i="7"/>
  <c r="BB284" i="7"/>
  <c r="BB285" i="7"/>
  <c r="BB286" i="7"/>
  <c r="BB287" i="7"/>
  <c r="BB288" i="7"/>
  <c r="BB289" i="7"/>
  <c r="BB7" i="7"/>
  <c r="BB5" i="7"/>
  <c r="BB6" i="7"/>
  <c r="BB4" i="7"/>
  <c r="B50" i="3"/>
  <c r="T181" i="7"/>
  <c r="D168" i="7"/>
  <c r="BK93" i="7"/>
  <c r="BI93" i="7"/>
  <c r="BE93" i="7"/>
  <c r="BK17" i="7"/>
  <c r="BE15" i="7"/>
  <c r="AD75" i="7"/>
  <c r="Y75" i="7"/>
  <c r="V158" i="7"/>
  <c r="V150" i="7"/>
  <c r="AF130" i="7"/>
  <c r="D160" i="7"/>
  <c r="D66" i="7" s="1"/>
  <c r="D152" i="7"/>
  <c r="D61" i="7" s="1"/>
  <c r="AK158" i="7"/>
  <c r="AK150" i="7"/>
  <c r="N128" i="7"/>
  <c r="R128" i="7"/>
  <c r="D115" i="7"/>
  <c r="AQ173" i="7"/>
  <c r="BG93" i="7"/>
  <c r="BK90" i="7"/>
  <c r="BK91" i="7"/>
  <c r="BK92" i="7"/>
  <c r="BI90" i="7"/>
  <c r="BI91" i="7"/>
  <c r="BI92" i="7"/>
  <c r="BG90" i="7"/>
  <c r="BG91" i="7"/>
  <c r="BG92" i="7"/>
  <c r="BE90" i="7"/>
  <c r="BE91" i="7"/>
  <c r="BE92" i="7"/>
  <c r="BL89" i="7"/>
  <c r="BJ89" i="7"/>
  <c r="BH89" i="7"/>
  <c r="BF89" i="7"/>
  <c r="BD89" i="7"/>
  <c r="D106" i="7"/>
  <c r="AM106" i="7"/>
  <c r="AA139" i="7" s="1"/>
  <c r="D100" i="7"/>
  <c r="P103" i="7"/>
  <c r="AG104" i="7"/>
  <c r="AF103" i="7"/>
  <c r="CH10" i="7"/>
  <c r="CH9" i="7"/>
  <c r="AA103" i="7" s="1"/>
  <c r="L103" i="7" s="1"/>
  <c r="CH8" i="7"/>
  <c r="CH11" i="7"/>
  <c r="AE82" i="7"/>
  <c r="AK82" i="7"/>
  <c r="V51" i="7" l="1"/>
  <c r="BK89" i="7"/>
  <c r="AQ103" i="7"/>
  <c r="W54" i="7" s="1"/>
  <c r="V117" i="7"/>
  <c r="BE89" i="7"/>
  <c r="BI89" i="7"/>
  <c r="BG89" i="7"/>
  <c r="AQ38" i="7"/>
  <c r="BD13" i="7"/>
  <c r="BK54" i="7"/>
  <c r="BK51" i="7"/>
  <c r="BK52" i="7"/>
  <c r="BK53" i="7"/>
  <c r="BI54" i="7"/>
  <c r="BI51" i="7"/>
  <c r="BI52" i="7"/>
  <c r="BI53" i="7"/>
  <c r="BG51" i="7"/>
  <c r="BG52" i="7"/>
  <c r="BG53" i="7"/>
  <c r="BG54" i="7"/>
  <c r="BE51" i="7"/>
  <c r="BE52" i="7"/>
  <c r="BE53" i="7"/>
  <c r="BE54" i="7"/>
  <c r="BD50" i="7"/>
  <c r="BL50" i="7"/>
  <c r="BJ50" i="7"/>
  <c r="BH50" i="7"/>
  <c r="BF50" i="7"/>
  <c r="AQ19" i="7"/>
  <c r="BL13" i="7"/>
  <c r="BJ13" i="7"/>
  <c r="BH13" i="7"/>
  <c r="BF13" i="7"/>
  <c r="CF9" i="7"/>
  <c r="CF8" i="7"/>
  <c r="BI17" i="7"/>
  <c r="BK14" i="7"/>
  <c r="BK15" i="7"/>
  <c r="BK16" i="7"/>
  <c r="BI14" i="7"/>
  <c r="BI15" i="7"/>
  <c r="BI16" i="7"/>
  <c r="BG14" i="7"/>
  <c r="BG15" i="7"/>
  <c r="BG16" i="7"/>
  <c r="BG17" i="7"/>
  <c r="BE14" i="7"/>
  <c r="BE16" i="7"/>
  <c r="BE17" i="7"/>
  <c r="D40" i="7"/>
  <c r="AM3" i="3"/>
  <c r="AM4" i="3"/>
  <c r="AM5" i="3"/>
  <c r="AM6" i="3"/>
  <c r="AM7" i="3"/>
  <c r="AM8" i="3"/>
  <c r="AM9" i="3"/>
  <c r="AM10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2" i="3"/>
  <c r="AP296" i="3"/>
  <c r="AP297" i="3"/>
  <c r="AP298" i="3"/>
  <c r="AP299" i="3"/>
  <c r="AP300" i="3"/>
  <c r="AP301" i="3"/>
  <c r="AP302" i="3"/>
  <c r="AP287" i="3"/>
  <c r="AP288" i="3"/>
  <c r="AP289" i="3"/>
  <c r="AP290" i="3"/>
  <c r="AP291" i="3"/>
  <c r="AP292" i="3"/>
  <c r="AP293" i="3"/>
  <c r="AP294" i="3"/>
  <c r="AP295" i="3"/>
  <c r="AP274" i="3"/>
  <c r="AP275" i="3"/>
  <c r="AP276" i="3"/>
  <c r="AP277" i="3"/>
  <c r="AP278" i="3"/>
  <c r="AP279" i="3"/>
  <c r="AP280" i="3"/>
  <c r="AP281" i="3"/>
  <c r="AP282" i="3"/>
  <c r="AP283" i="3"/>
  <c r="AP284" i="3"/>
  <c r="AP285" i="3"/>
  <c r="AP286" i="3"/>
  <c r="AP130" i="3"/>
  <c r="AP131" i="3"/>
  <c r="AP132" i="3"/>
  <c r="AP133" i="3"/>
  <c r="AP134" i="3"/>
  <c r="AP135" i="3"/>
  <c r="AP136" i="3"/>
  <c r="AP137" i="3"/>
  <c r="AP138" i="3"/>
  <c r="AP139" i="3"/>
  <c r="AP140" i="3"/>
  <c r="AP141" i="3"/>
  <c r="AP142" i="3"/>
  <c r="AP143" i="3"/>
  <c r="AP144" i="3"/>
  <c r="AP145" i="3"/>
  <c r="AP146" i="3"/>
  <c r="AP147" i="3"/>
  <c r="AP148" i="3"/>
  <c r="AP149" i="3"/>
  <c r="AP150" i="3"/>
  <c r="AP151" i="3"/>
  <c r="AP152" i="3"/>
  <c r="AP153" i="3"/>
  <c r="AP154" i="3"/>
  <c r="AP155" i="3"/>
  <c r="AP156" i="3"/>
  <c r="AP157" i="3"/>
  <c r="AP158" i="3"/>
  <c r="AP159" i="3"/>
  <c r="AP160" i="3"/>
  <c r="AP161" i="3"/>
  <c r="AP162" i="3"/>
  <c r="AP163" i="3"/>
  <c r="AP164" i="3"/>
  <c r="AP165" i="3"/>
  <c r="AP166" i="3"/>
  <c r="AP167" i="3"/>
  <c r="AP168" i="3"/>
  <c r="AP169" i="3"/>
  <c r="AP170" i="3"/>
  <c r="AP171" i="3"/>
  <c r="AP172" i="3"/>
  <c r="AP173" i="3"/>
  <c r="AP174" i="3"/>
  <c r="AP175" i="3"/>
  <c r="AP176" i="3"/>
  <c r="AP177" i="3"/>
  <c r="AP178" i="3"/>
  <c r="AP179" i="3"/>
  <c r="AP180" i="3"/>
  <c r="AP181" i="3"/>
  <c r="AP182" i="3"/>
  <c r="AP183" i="3"/>
  <c r="AP184" i="3"/>
  <c r="AP185" i="3"/>
  <c r="AP186" i="3"/>
  <c r="AP187" i="3"/>
  <c r="AP188" i="3"/>
  <c r="AP189" i="3"/>
  <c r="AP190" i="3"/>
  <c r="AP191" i="3"/>
  <c r="AP192" i="3"/>
  <c r="AP193" i="3"/>
  <c r="AP194" i="3"/>
  <c r="AP195" i="3"/>
  <c r="AP196" i="3"/>
  <c r="AP197" i="3"/>
  <c r="AP198" i="3"/>
  <c r="AP199" i="3"/>
  <c r="AP200" i="3"/>
  <c r="AP201" i="3"/>
  <c r="AP202" i="3"/>
  <c r="AP203" i="3"/>
  <c r="AP204" i="3"/>
  <c r="AP205" i="3"/>
  <c r="AP206" i="3"/>
  <c r="AP207" i="3"/>
  <c r="AP208" i="3"/>
  <c r="AP209" i="3"/>
  <c r="AP210" i="3"/>
  <c r="AP211" i="3"/>
  <c r="AP212" i="3"/>
  <c r="AP213" i="3"/>
  <c r="AP214" i="3"/>
  <c r="AP215" i="3"/>
  <c r="AP216" i="3"/>
  <c r="AP217" i="3"/>
  <c r="AP218" i="3"/>
  <c r="AP219" i="3"/>
  <c r="AP220" i="3"/>
  <c r="AP221" i="3"/>
  <c r="AP222" i="3"/>
  <c r="AP223" i="3"/>
  <c r="AP224" i="3"/>
  <c r="AP225" i="3"/>
  <c r="AP226" i="3"/>
  <c r="AP227" i="3"/>
  <c r="AP228" i="3"/>
  <c r="AP229" i="3"/>
  <c r="AP230" i="3"/>
  <c r="AP231" i="3"/>
  <c r="AP232" i="3"/>
  <c r="AP233" i="3"/>
  <c r="AP234" i="3"/>
  <c r="AP235" i="3"/>
  <c r="AP236" i="3"/>
  <c r="AP237" i="3"/>
  <c r="AP238" i="3"/>
  <c r="AP239" i="3"/>
  <c r="AP240" i="3"/>
  <c r="AP241" i="3"/>
  <c r="AP242" i="3"/>
  <c r="AP243" i="3"/>
  <c r="AP244" i="3"/>
  <c r="AP245" i="3"/>
  <c r="AP246" i="3"/>
  <c r="AP247" i="3"/>
  <c r="AP248" i="3"/>
  <c r="AP249" i="3"/>
  <c r="AP250" i="3"/>
  <c r="AP251" i="3"/>
  <c r="AP252" i="3"/>
  <c r="AP253" i="3"/>
  <c r="AP254" i="3"/>
  <c r="AP255" i="3"/>
  <c r="AP256" i="3"/>
  <c r="AP257" i="3"/>
  <c r="AP258" i="3"/>
  <c r="AP259" i="3"/>
  <c r="AP260" i="3"/>
  <c r="AP261" i="3"/>
  <c r="AP262" i="3"/>
  <c r="AP263" i="3"/>
  <c r="AP264" i="3"/>
  <c r="AP265" i="3"/>
  <c r="AP266" i="3"/>
  <c r="AP267" i="3"/>
  <c r="AP268" i="3"/>
  <c r="AP269" i="3"/>
  <c r="AP270" i="3"/>
  <c r="AP271" i="3"/>
  <c r="AP272" i="3"/>
  <c r="AP273" i="3"/>
  <c r="AP3" i="3"/>
  <c r="AP4" i="3"/>
  <c r="AP5" i="3"/>
  <c r="AP6" i="3"/>
  <c r="AP7" i="3"/>
  <c r="AP8" i="3"/>
  <c r="AP9" i="3"/>
  <c r="AP10" i="3"/>
  <c r="AP11" i="3"/>
  <c r="AP12" i="3"/>
  <c r="AP13" i="3"/>
  <c r="AP14" i="3"/>
  <c r="AP15" i="3"/>
  <c r="AP16" i="3"/>
  <c r="AP17" i="3"/>
  <c r="AP18" i="3"/>
  <c r="AP19" i="3"/>
  <c r="AP20" i="3"/>
  <c r="AP21" i="3"/>
  <c r="AP22" i="3"/>
  <c r="AP23" i="3"/>
  <c r="AP24" i="3"/>
  <c r="AP25" i="3"/>
  <c r="AP26" i="3"/>
  <c r="AP27" i="3"/>
  <c r="AP28" i="3"/>
  <c r="AP29" i="3"/>
  <c r="AP30" i="3"/>
  <c r="AP31" i="3"/>
  <c r="AP32" i="3"/>
  <c r="AP33" i="3"/>
  <c r="AP34" i="3"/>
  <c r="AP35" i="3"/>
  <c r="AP36" i="3"/>
  <c r="AP37" i="3"/>
  <c r="AP38" i="3"/>
  <c r="AP39" i="3"/>
  <c r="AP40" i="3"/>
  <c r="AP41" i="3"/>
  <c r="AP42" i="3"/>
  <c r="AP43" i="3"/>
  <c r="AP44" i="3"/>
  <c r="AP45" i="3"/>
  <c r="AP46" i="3"/>
  <c r="AP47" i="3"/>
  <c r="AP48" i="3"/>
  <c r="AP49" i="3"/>
  <c r="AP50" i="3"/>
  <c r="AP51" i="3"/>
  <c r="AP52" i="3"/>
  <c r="AP53" i="3"/>
  <c r="AP54" i="3"/>
  <c r="AP55" i="3"/>
  <c r="AP56" i="3"/>
  <c r="AP57" i="3"/>
  <c r="AP58" i="3"/>
  <c r="AP59" i="3"/>
  <c r="AP60" i="3"/>
  <c r="AP61" i="3"/>
  <c r="AP62" i="3"/>
  <c r="AP63" i="3"/>
  <c r="AP64" i="3"/>
  <c r="AP65" i="3"/>
  <c r="AP66" i="3"/>
  <c r="AP67" i="3"/>
  <c r="AP68" i="3"/>
  <c r="AP69" i="3"/>
  <c r="AP70" i="3"/>
  <c r="AP71" i="3"/>
  <c r="AP72" i="3"/>
  <c r="AP73" i="3"/>
  <c r="AP74" i="3"/>
  <c r="AP75" i="3"/>
  <c r="AP76" i="3"/>
  <c r="AP77" i="3"/>
  <c r="AP78" i="3"/>
  <c r="AP79" i="3"/>
  <c r="AP80" i="3"/>
  <c r="AP81" i="3"/>
  <c r="AP82" i="3"/>
  <c r="AP83" i="3"/>
  <c r="AP84" i="3"/>
  <c r="AP85" i="3"/>
  <c r="AP86" i="3"/>
  <c r="AP87" i="3"/>
  <c r="AP88" i="3"/>
  <c r="AP89" i="3"/>
  <c r="AP90" i="3"/>
  <c r="AP91" i="3"/>
  <c r="AP92" i="3"/>
  <c r="AP93" i="3"/>
  <c r="AP94" i="3"/>
  <c r="AP95" i="3"/>
  <c r="AP96" i="3"/>
  <c r="AP97" i="3"/>
  <c r="AP98" i="3"/>
  <c r="AP99" i="3"/>
  <c r="AP100" i="3"/>
  <c r="AP101" i="3"/>
  <c r="AP102" i="3"/>
  <c r="AP103" i="3"/>
  <c r="AP104" i="3"/>
  <c r="AP105" i="3"/>
  <c r="AP106" i="3"/>
  <c r="AP107" i="3"/>
  <c r="AP108" i="3"/>
  <c r="AP109" i="3"/>
  <c r="AP110" i="3"/>
  <c r="AP111" i="3"/>
  <c r="AP112" i="3"/>
  <c r="AP113" i="3"/>
  <c r="AP114" i="3"/>
  <c r="AP115" i="3"/>
  <c r="AP116" i="3"/>
  <c r="AP117" i="3"/>
  <c r="AP118" i="3"/>
  <c r="AP119" i="3"/>
  <c r="AP120" i="3"/>
  <c r="AP121" i="3"/>
  <c r="AP122" i="3"/>
  <c r="AP123" i="3"/>
  <c r="AP124" i="3"/>
  <c r="AP125" i="3"/>
  <c r="AP126" i="3"/>
  <c r="AP127" i="3"/>
  <c r="AP128" i="3"/>
  <c r="AP129" i="3"/>
  <c r="AP2" i="3"/>
  <c r="L40" i="3"/>
  <c r="L43" i="3"/>
  <c r="E27" i="3"/>
  <c r="C18" i="3"/>
  <c r="K20" i="3"/>
  <c r="B47" i="3"/>
  <c r="AQ90" i="7" l="1"/>
  <c r="AE22" i="7"/>
  <c r="AI173" i="7"/>
  <c r="AQ175" i="7" s="1"/>
  <c r="D86" i="7"/>
  <c r="BE13" i="7"/>
  <c r="D84" i="7"/>
  <c r="B47" i="7"/>
  <c r="D21" i="7"/>
  <c r="D57" i="7"/>
  <c r="H57" i="7"/>
  <c r="AL141" i="7"/>
  <c r="H141" i="7"/>
  <c r="D141" i="7"/>
  <c r="AK57" i="7"/>
  <c r="O133" i="7"/>
  <c r="AH51" i="7"/>
  <c r="D113" i="7"/>
  <c r="AQ133" i="7"/>
  <c r="M53" i="7" s="1"/>
  <c r="F133" i="7"/>
  <c r="K133" i="7"/>
  <c r="I133" i="7"/>
  <c r="M133" i="7"/>
  <c r="AL41" i="7"/>
  <c r="AQ40" i="7" s="1"/>
  <c r="W179" i="7"/>
  <c r="AA41" i="7"/>
  <c r="Q41" i="7"/>
  <c r="AQ44" i="7" s="1"/>
  <c r="Q122" i="7" s="1"/>
  <c r="Y21" i="7"/>
  <c r="BE50" i="7"/>
  <c r="BG50" i="7"/>
  <c r="BI50" i="7"/>
  <c r="BK50" i="7"/>
  <c r="BG13" i="7"/>
  <c r="BK13" i="7"/>
  <c r="BI13" i="7"/>
  <c r="BO6" i="3"/>
  <c r="BN6" i="3"/>
  <c r="Z90" i="7" l="1"/>
  <c r="AQ88" i="7"/>
  <c r="AA138" i="7"/>
  <c r="AL122" i="7"/>
  <c r="AB130" i="7" s="1"/>
  <c r="AQ42" i="7"/>
  <c r="AA122" i="7" s="1"/>
  <c r="AQ94" i="7"/>
  <c r="AJ117" i="7" s="1"/>
  <c r="U175" i="7"/>
  <c r="X94" i="7"/>
  <c r="J98" i="7"/>
  <c r="W98" i="7"/>
  <c r="E94" i="7"/>
  <c r="D90" i="7"/>
  <c r="E30" i="3"/>
  <c r="AL31" i="3" s="1"/>
  <c r="E31" i="3" s="1"/>
  <c r="BG125" i="7" l="1"/>
  <c r="BE126" i="7"/>
  <c r="BI126" i="7"/>
  <c r="BE127" i="7"/>
  <c r="BE125" i="7"/>
  <c r="BK125" i="7"/>
  <c r="BI125" i="7"/>
  <c r="AI179" i="7" s="1"/>
  <c r="BG126" i="7"/>
  <c r="BI127" i="7"/>
  <c r="BK124" i="7"/>
  <c r="BG127" i="7"/>
  <c r="AQ92" i="7"/>
  <c r="AD168" i="7" s="1"/>
  <c r="G73" i="7" s="1"/>
  <c r="BE124" i="7"/>
  <c r="BE123" i="7"/>
  <c r="BK127" i="7"/>
  <c r="BK123" i="7"/>
  <c r="BG123" i="7"/>
  <c r="BG124" i="7"/>
  <c r="BI124" i="7"/>
  <c r="BK126" i="7"/>
  <c r="BI123" i="7"/>
  <c r="D150" i="7"/>
  <c r="D158" i="7"/>
  <c r="L30" i="3"/>
  <c r="V30" i="3"/>
  <c r="AH30" i="3"/>
  <c r="C29" i="3"/>
  <c r="J128" i="7" l="1"/>
  <c r="AC117" i="7"/>
  <c r="N117" i="7" s="1"/>
  <c r="K51" i="7" s="1"/>
  <c r="AQ96" i="7"/>
  <c r="AQ98" i="7"/>
  <c r="W113" i="7" s="1"/>
  <c r="AQ129" i="7"/>
  <c r="E53" i="7" s="1"/>
  <c r="T128" i="7"/>
  <c r="AC166" i="7"/>
  <c r="X166" i="7"/>
  <c r="AC73" i="7" s="1"/>
  <c r="R27" i="3"/>
  <c r="G27" i="3"/>
  <c r="Q22" i="3"/>
  <c r="AH20" i="3"/>
  <c r="V20" i="3"/>
  <c r="C20" i="3"/>
  <c r="BM11" i="3"/>
  <c r="BM10" i="3"/>
  <c r="BM9" i="3"/>
  <c r="BM8" i="3"/>
  <c r="BM7" i="3"/>
  <c r="AF27" i="3" s="1"/>
  <c r="BM6" i="3"/>
  <c r="W110" i="7" l="1"/>
  <c r="AX16" i="7"/>
  <c r="AW16" i="7" s="1"/>
  <c r="AX28" i="7"/>
  <c r="AW28" i="7" s="1"/>
  <c r="AX40" i="7"/>
  <c r="AW40" i="7" s="1"/>
  <c r="AX52" i="7"/>
  <c r="AW52" i="7" s="1"/>
  <c r="AX64" i="7"/>
  <c r="AW64" i="7" s="1"/>
  <c r="AX76" i="7"/>
  <c r="AW76" i="7" s="1"/>
  <c r="AX88" i="7"/>
  <c r="AW88" i="7" s="1"/>
  <c r="AX100" i="7"/>
  <c r="AW100" i="7" s="1"/>
  <c r="AX112" i="7"/>
  <c r="AW112" i="7" s="1"/>
  <c r="AX124" i="7"/>
  <c r="AW124" i="7" s="1"/>
  <c r="AX136" i="7"/>
  <c r="AW136" i="7" s="1"/>
  <c r="AX148" i="7"/>
  <c r="AW148" i="7" s="1"/>
  <c r="AX160" i="7"/>
  <c r="AW160" i="7" s="1"/>
  <c r="AX172" i="7"/>
  <c r="AW172" i="7" s="1"/>
  <c r="AX184" i="7"/>
  <c r="AW184" i="7" s="1"/>
  <c r="AX196" i="7"/>
  <c r="AW196" i="7" s="1"/>
  <c r="AX208" i="7"/>
  <c r="AW208" i="7" s="1"/>
  <c r="AX220" i="7"/>
  <c r="AW220" i="7" s="1"/>
  <c r="AX232" i="7"/>
  <c r="AW232" i="7" s="1"/>
  <c r="AX244" i="7"/>
  <c r="AW244" i="7" s="1"/>
  <c r="AX256" i="7"/>
  <c r="AW256" i="7" s="1"/>
  <c r="AX268" i="7"/>
  <c r="AW268" i="7" s="1"/>
  <c r="AX280" i="7"/>
  <c r="AW280" i="7" s="1"/>
  <c r="AX292" i="7"/>
  <c r="AW292" i="7" s="1"/>
  <c r="AX304" i="7"/>
  <c r="AW304" i="7" s="1"/>
  <c r="AX316" i="7"/>
  <c r="AW316" i="7" s="1"/>
  <c r="AX328" i="7"/>
  <c r="AW328" i="7" s="1"/>
  <c r="AX340" i="7"/>
  <c r="AW340" i="7" s="1"/>
  <c r="AX352" i="7"/>
  <c r="AW352" i="7" s="1"/>
  <c r="AX364" i="7"/>
  <c r="AW364" i="7" s="1"/>
  <c r="AX376" i="7"/>
  <c r="AW376" i="7" s="1"/>
  <c r="AX18" i="7"/>
  <c r="AW18" i="7" s="1"/>
  <c r="AX66" i="7"/>
  <c r="AW66" i="7" s="1"/>
  <c r="AX114" i="7"/>
  <c r="AW114" i="7" s="1"/>
  <c r="AX222" i="7"/>
  <c r="AW222" i="7" s="1"/>
  <c r="AX17" i="7"/>
  <c r="AW17" i="7" s="1"/>
  <c r="AX29" i="7"/>
  <c r="AW29" i="7" s="1"/>
  <c r="AX41" i="7"/>
  <c r="AW41" i="7" s="1"/>
  <c r="AX53" i="7"/>
  <c r="AW53" i="7" s="1"/>
  <c r="AX65" i="7"/>
  <c r="AW65" i="7" s="1"/>
  <c r="AX77" i="7"/>
  <c r="AW77" i="7" s="1"/>
  <c r="AX89" i="7"/>
  <c r="AW89" i="7" s="1"/>
  <c r="AX101" i="7"/>
  <c r="AW101" i="7" s="1"/>
  <c r="AX113" i="7"/>
  <c r="AW113" i="7" s="1"/>
  <c r="AX125" i="7"/>
  <c r="AW125" i="7" s="1"/>
  <c r="AX137" i="7"/>
  <c r="AW137" i="7" s="1"/>
  <c r="AX149" i="7"/>
  <c r="AW149" i="7" s="1"/>
  <c r="AX161" i="7"/>
  <c r="AW161" i="7" s="1"/>
  <c r="AX173" i="7"/>
  <c r="AW173" i="7" s="1"/>
  <c r="AX185" i="7"/>
  <c r="AW185" i="7" s="1"/>
  <c r="AX197" i="7"/>
  <c r="AW197" i="7" s="1"/>
  <c r="AX209" i="7"/>
  <c r="AW209" i="7" s="1"/>
  <c r="AX221" i="7"/>
  <c r="AW221" i="7" s="1"/>
  <c r="AX233" i="7"/>
  <c r="AW233" i="7" s="1"/>
  <c r="AX245" i="7"/>
  <c r="AW245" i="7" s="1"/>
  <c r="AX257" i="7"/>
  <c r="AW257" i="7" s="1"/>
  <c r="AX269" i="7"/>
  <c r="AW269" i="7" s="1"/>
  <c r="AX281" i="7"/>
  <c r="AW281" i="7" s="1"/>
  <c r="AX293" i="7"/>
  <c r="AW293" i="7" s="1"/>
  <c r="AX305" i="7"/>
  <c r="AW305" i="7" s="1"/>
  <c r="AX317" i="7"/>
  <c r="AW317" i="7" s="1"/>
  <c r="AX329" i="7"/>
  <c r="AW329" i="7" s="1"/>
  <c r="AX341" i="7"/>
  <c r="AW341" i="7" s="1"/>
  <c r="AX353" i="7"/>
  <c r="AW353" i="7" s="1"/>
  <c r="AX365" i="7"/>
  <c r="AW365" i="7" s="1"/>
  <c r="AX377" i="7"/>
  <c r="AW377" i="7" s="1"/>
  <c r="AX78" i="7"/>
  <c r="AW78" i="7" s="1"/>
  <c r="AX198" i="7"/>
  <c r="AW198" i="7" s="1"/>
  <c r="AX270" i="7"/>
  <c r="AW270" i="7" s="1"/>
  <c r="AX378" i="7"/>
  <c r="AW378" i="7" s="1"/>
  <c r="AX19" i="7"/>
  <c r="AW19" i="7" s="1"/>
  <c r="AX31" i="7"/>
  <c r="AW31" i="7" s="1"/>
  <c r="AX43" i="7"/>
  <c r="AW43" i="7" s="1"/>
  <c r="AX55" i="7"/>
  <c r="AW55" i="7" s="1"/>
  <c r="AX67" i="7"/>
  <c r="AW67" i="7" s="1"/>
  <c r="AX79" i="7"/>
  <c r="AW79" i="7" s="1"/>
  <c r="AX91" i="7"/>
  <c r="AW91" i="7" s="1"/>
  <c r="AX379" i="7"/>
  <c r="AW379" i="7" s="1"/>
  <c r="AX20" i="7"/>
  <c r="AW20" i="7" s="1"/>
  <c r="AX32" i="7"/>
  <c r="AW32" i="7" s="1"/>
  <c r="AX44" i="7"/>
  <c r="AW44" i="7" s="1"/>
  <c r="AX56" i="7"/>
  <c r="AW56" i="7" s="1"/>
  <c r="AX68" i="7"/>
  <c r="AW68" i="7" s="1"/>
  <c r="AX80" i="7"/>
  <c r="AW80" i="7" s="1"/>
  <c r="AX92" i="7"/>
  <c r="AW92" i="7" s="1"/>
  <c r="AX104" i="7"/>
  <c r="AW104" i="7" s="1"/>
  <c r="AX116" i="7"/>
  <c r="AW116" i="7" s="1"/>
  <c r="AX128" i="7"/>
  <c r="AW128" i="7" s="1"/>
  <c r="AX140" i="7"/>
  <c r="AW140" i="7" s="1"/>
  <c r="AX152" i="7"/>
  <c r="AW152" i="7" s="1"/>
  <c r="AX164" i="7"/>
  <c r="AW164" i="7" s="1"/>
  <c r="AX176" i="7"/>
  <c r="AW176" i="7" s="1"/>
  <c r="AX188" i="7"/>
  <c r="AW188" i="7" s="1"/>
  <c r="AX200" i="7"/>
  <c r="AW200" i="7" s="1"/>
  <c r="AX212" i="7"/>
  <c r="AW212" i="7" s="1"/>
  <c r="AX224" i="7"/>
  <c r="AW224" i="7" s="1"/>
  <c r="AX236" i="7"/>
  <c r="AW236" i="7" s="1"/>
  <c r="AX248" i="7"/>
  <c r="AW248" i="7" s="1"/>
  <c r="AX260" i="7"/>
  <c r="AW260" i="7" s="1"/>
  <c r="AX272" i="7"/>
  <c r="AW272" i="7" s="1"/>
  <c r="AX284" i="7"/>
  <c r="AW284" i="7" s="1"/>
  <c r="AX296" i="7"/>
  <c r="AW296" i="7" s="1"/>
  <c r="AX308" i="7"/>
  <c r="AW308" i="7" s="1"/>
  <c r="AX320" i="7"/>
  <c r="AW320" i="7" s="1"/>
  <c r="AX332" i="7"/>
  <c r="AW332" i="7" s="1"/>
  <c r="AX344" i="7"/>
  <c r="AW344" i="7" s="1"/>
  <c r="AX356" i="7"/>
  <c r="AW356" i="7" s="1"/>
  <c r="AX368" i="7"/>
  <c r="AW368" i="7" s="1"/>
  <c r="AX5" i="7"/>
  <c r="AW5" i="7" s="1"/>
  <c r="AX288" i="7"/>
  <c r="AW288" i="7" s="1"/>
  <c r="AX336" i="7"/>
  <c r="AW336" i="7" s="1"/>
  <c r="AX126" i="7"/>
  <c r="AW126" i="7" s="1"/>
  <c r="AX282" i="7"/>
  <c r="AW282" i="7" s="1"/>
  <c r="AX9" i="7"/>
  <c r="AW9" i="7" s="1"/>
  <c r="AX21" i="7"/>
  <c r="AW21" i="7" s="1"/>
  <c r="AX33" i="7"/>
  <c r="AW33" i="7" s="1"/>
  <c r="AX45" i="7"/>
  <c r="AW45" i="7" s="1"/>
  <c r="AX57" i="7"/>
  <c r="AW57" i="7" s="1"/>
  <c r="AX69" i="7"/>
  <c r="AW69" i="7" s="1"/>
  <c r="AX81" i="7"/>
  <c r="AW81" i="7" s="1"/>
  <c r="AX93" i="7"/>
  <c r="AW93" i="7" s="1"/>
  <c r="AX105" i="7"/>
  <c r="AW105" i="7" s="1"/>
  <c r="AX117" i="7"/>
  <c r="AW117" i="7" s="1"/>
  <c r="AX129" i="7"/>
  <c r="AW129" i="7" s="1"/>
  <c r="AX141" i="7"/>
  <c r="AW141" i="7" s="1"/>
  <c r="AX153" i="7"/>
  <c r="AW153" i="7" s="1"/>
  <c r="AX165" i="7"/>
  <c r="AW165" i="7" s="1"/>
  <c r="AX177" i="7"/>
  <c r="AW177" i="7" s="1"/>
  <c r="AX189" i="7"/>
  <c r="AW189" i="7" s="1"/>
  <c r="AX201" i="7"/>
  <c r="AW201" i="7" s="1"/>
  <c r="AX213" i="7"/>
  <c r="AW213" i="7" s="1"/>
  <c r="AX225" i="7"/>
  <c r="AW225" i="7" s="1"/>
  <c r="AX237" i="7"/>
  <c r="AW237" i="7" s="1"/>
  <c r="AX249" i="7"/>
  <c r="AW249" i="7" s="1"/>
  <c r="AX261" i="7"/>
  <c r="AW261" i="7" s="1"/>
  <c r="AX273" i="7"/>
  <c r="AW273" i="7" s="1"/>
  <c r="AX285" i="7"/>
  <c r="AW285" i="7" s="1"/>
  <c r="AX297" i="7"/>
  <c r="AW297" i="7" s="1"/>
  <c r="AX309" i="7"/>
  <c r="AW309" i="7" s="1"/>
  <c r="AX321" i="7"/>
  <c r="AW321" i="7" s="1"/>
  <c r="AX333" i="7"/>
  <c r="AW333" i="7" s="1"/>
  <c r="AX345" i="7"/>
  <c r="AW345" i="7" s="1"/>
  <c r="AX357" i="7"/>
  <c r="AW357" i="7" s="1"/>
  <c r="AX369" i="7"/>
  <c r="AW369" i="7" s="1"/>
  <c r="AX6" i="7"/>
  <c r="AW6" i="7" s="1"/>
  <c r="AX150" i="7"/>
  <c r="AW150" i="7" s="1"/>
  <c r="AX306" i="7"/>
  <c r="AW306" i="7" s="1"/>
  <c r="AX10" i="7"/>
  <c r="AW10" i="7" s="1"/>
  <c r="AX22" i="7"/>
  <c r="AW22" i="7" s="1"/>
  <c r="AX34" i="7"/>
  <c r="AW34" i="7" s="1"/>
  <c r="AX46" i="7"/>
  <c r="AW46" i="7" s="1"/>
  <c r="AX58" i="7"/>
  <c r="AW58" i="7" s="1"/>
  <c r="AX70" i="7"/>
  <c r="AW70" i="7" s="1"/>
  <c r="AX82" i="7"/>
  <c r="AW82" i="7" s="1"/>
  <c r="AX94" i="7"/>
  <c r="AW94" i="7" s="1"/>
  <c r="AX106" i="7"/>
  <c r="AW106" i="7" s="1"/>
  <c r="AX118" i="7"/>
  <c r="AW118" i="7" s="1"/>
  <c r="AX130" i="7"/>
  <c r="AW130" i="7" s="1"/>
  <c r="AX142" i="7"/>
  <c r="AW142" i="7" s="1"/>
  <c r="AX154" i="7"/>
  <c r="AW154" i="7" s="1"/>
  <c r="AX166" i="7"/>
  <c r="AW166" i="7" s="1"/>
  <c r="AX178" i="7"/>
  <c r="AW178" i="7" s="1"/>
  <c r="AX190" i="7"/>
  <c r="AW190" i="7" s="1"/>
  <c r="AX202" i="7"/>
  <c r="AW202" i="7" s="1"/>
  <c r="AX214" i="7"/>
  <c r="AW214" i="7" s="1"/>
  <c r="AX226" i="7"/>
  <c r="AW226" i="7" s="1"/>
  <c r="AX238" i="7"/>
  <c r="AW238" i="7" s="1"/>
  <c r="AX250" i="7"/>
  <c r="AW250" i="7" s="1"/>
  <c r="AX262" i="7"/>
  <c r="AW262" i="7" s="1"/>
  <c r="AX274" i="7"/>
  <c r="AW274" i="7" s="1"/>
  <c r="AX286" i="7"/>
  <c r="AW286" i="7" s="1"/>
  <c r="AX298" i="7"/>
  <c r="AW298" i="7" s="1"/>
  <c r="AX310" i="7"/>
  <c r="AW310" i="7" s="1"/>
  <c r="AX322" i="7"/>
  <c r="AW322" i="7" s="1"/>
  <c r="AX334" i="7"/>
  <c r="AW334" i="7" s="1"/>
  <c r="AX346" i="7"/>
  <c r="AW346" i="7" s="1"/>
  <c r="AX358" i="7"/>
  <c r="AW358" i="7" s="1"/>
  <c r="AX370" i="7"/>
  <c r="AW370" i="7" s="1"/>
  <c r="AX7" i="7"/>
  <c r="AW7" i="7" s="1"/>
  <c r="AX360" i="7"/>
  <c r="AW360" i="7" s="1"/>
  <c r="AX186" i="7"/>
  <c r="AW186" i="7" s="1"/>
  <c r="AX354" i="7"/>
  <c r="AW354" i="7" s="1"/>
  <c r="AX11" i="7"/>
  <c r="AW11" i="7" s="1"/>
  <c r="AX23" i="7"/>
  <c r="AW23" i="7" s="1"/>
  <c r="AX35" i="7"/>
  <c r="AW35" i="7" s="1"/>
  <c r="AX47" i="7"/>
  <c r="AW47" i="7" s="1"/>
  <c r="AX59" i="7"/>
  <c r="AW59" i="7" s="1"/>
  <c r="AX71" i="7"/>
  <c r="AW71" i="7" s="1"/>
  <c r="AX83" i="7"/>
  <c r="AW83" i="7" s="1"/>
  <c r="AX95" i="7"/>
  <c r="AW95" i="7" s="1"/>
  <c r="AX107" i="7"/>
  <c r="AW107" i="7" s="1"/>
  <c r="AX119" i="7"/>
  <c r="AW119" i="7" s="1"/>
  <c r="AX131" i="7"/>
  <c r="AW131" i="7" s="1"/>
  <c r="AX143" i="7"/>
  <c r="AW143" i="7" s="1"/>
  <c r="AX155" i="7"/>
  <c r="AW155" i="7" s="1"/>
  <c r="AX167" i="7"/>
  <c r="AW167" i="7" s="1"/>
  <c r="AX179" i="7"/>
  <c r="AW179" i="7" s="1"/>
  <c r="AX191" i="7"/>
  <c r="AW191" i="7" s="1"/>
  <c r="AX203" i="7"/>
  <c r="AW203" i="7" s="1"/>
  <c r="AX215" i="7"/>
  <c r="AW215" i="7" s="1"/>
  <c r="AX227" i="7"/>
  <c r="AW227" i="7" s="1"/>
  <c r="AX239" i="7"/>
  <c r="AW239" i="7" s="1"/>
  <c r="AX251" i="7"/>
  <c r="AW251" i="7" s="1"/>
  <c r="AX263" i="7"/>
  <c r="AW263" i="7" s="1"/>
  <c r="AX275" i="7"/>
  <c r="AW275" i="7" s="1"/>
  <c r="AX287" i="7"/>
  <c r="AW287" i="7" s="1"/>
  <c r="AX299" i="7"/>
  <c r="AW299" i="7" s="1"/>
  <c r="AX311" i="7"/>
  <c r="AW311" i="7" s="1"/>
  <c r="AX323" i="7"/>
  <c r="AW323" i="7" s="1"/>
  <c r="AX335" i="7"/>
  <c r="AW335" i="7" s="1"/>
  <c r="AX347" i="7"/>
  <c r="AW347" i="7" s="1"/>
  <c r="AX359" i="7"/>
  <c r="AW359" i="7" s="1"/>
  <c r="AX371" i="7"/>
  <c r="AW371" i="7" s="1"/>
  <c r="AX4" i="7"/>
  <c r="AW4" i="7" s="1"/>
  <c r="AX192" i="7"/>
  <c r="AW192" i="7" s="1"/>
  <c r="AX252" i="7"/>
  <c r="AW252" i="7" s="1"/>
  <c r="AX276" i="7"/>
  <c r="AW276" i="7" s="1"/>
  <c r="AX246" i="7"/>
  <c r="AW246" i="7" s="1"/>
  <c r="AX12" i="7"/>
  <c r="AW12" i="7" s="1"/>
  <c r="AX24" i="7"/>
  <c r="AW24" i="7" s="1"/>
  <c r="AX36" i="7"/>
  <c r="AW36" i="7" s="1"/>
  <c r="AX48" i="7"/>
  <c r="AW48" i="7" s="1"/>
  <c r="AX60" i="7"/>
  <c r="AW60" i="7" s="1"/>
  <c r="AX72" i="7"/>
  <c r="AW72" i="7" s="1"/>
  <c r="AX84" i="7"/>
  <c r="AW84" i="7" s="1"/>
  <c r="AX96" i="7"/>
  <c r="AW96" i="7" s="1"/>
  <c r="AX108" i="7"/>
  <c r="AW108" i="7" s="1"/>
  <c r="AX120" i="7"/>
  <c r="AW120" i="7" s="1"/>
  <c r="AX132" i="7"/>
  <c r="AW132" i="7" s="1"/>
  <c r="AX144" i="7"/>
  <c r="AW144" i="7" s="1"/>
  <c r="AX156" i="7"/>
  <c r="AW156" i="7" s="1"/>
  <c r="AX168" i="7"/>
  <c r="AW168" i="7" s="1"/>
  <c r="AX180" i="7"/>
  <c r="AW180" i="7" s="1"/>
  <c r="AX204" i="7"/>
  <c r="AW204" i="7" s="1"/>
  <c r="AX216" i="7"/>
  <c r="AW216" i="7" s="1"/>
  <c r="AX228" i="7"/>
  <c r="AW228" i="7" s="1"/>
  <c r="AX240" i="7"/>
  <c r="AW240" i="7" s="1"/>
  <c r="AX264" i="7"/>
  <c r="AW264" i="7" s="1"/>
  <c r="AX300" i="7"/>
  <c r="AW300" i="7" s="1"/>
  <c r="AX312" i="7"/>
  <c r="AW312" i="7" s="1"/>
  <c r="AX324" i="7"/>
  <c r="AW324" i="7" s="1"/>
  <c r="AX348" i="7"/>
  <c r="AW348" i="7" s="1"/>
  <c r="AX372" i="7"/>
  <c r="AW372" i="7" s="1"/>
  <c r="AX138" i="7"/>
  <c r="AW138" i="7" s="1"/>
  <c r="AX318" i="7"/>
  <c r="AW318" i="7" s="1"/>
  <c r="AX13" i="7"/>
  <c r="AW13" i="7" s="1"/>
  <c r="AX25" i="7"/>
  <c r="AW25" i="7" s="1"/>
  <c r="AX37" i="7"/>
  <c r="AW37" i="7" s="1"/>
  <c r="AX49" i="7"/>
  <c r="AW49" i="7" s="1"/>
  <c r="AX61" i="7"/>
  <c r="AW61" i="7" s="1"/>
  <c r="AX73" i="7"/>
  <c r="AW73" i="7" s="1"/>
  <c r="AX85" i="7"/>
  <c r="AW85" i="7" s="1"/>
  <c r="AX97" i="7"/>
  <c r="AW97" i="7" s="1"/>
  <c r="AX109" i="7"/>
  <c r="AW109" i="7" s="1"/>
  <c r="AX121" i="7"/>
  <c r="AW121" i="7" s="1"/>
  <c r="AX133" i="7"/>
  <c r="AW133" i="7" s="1"/>
  <c r="AX145" i="7"/>
  <c r="AW145" i="7" s="1"/>
  <c r="AX157" i="7"/>
  <c r="AW157" i="7" s="1"/>
  <c r="AX169" i="7"/>
  <c r="AW169" i="7" s="1"/>
  <c r="AX181" i="7"/>
  <c r="AW181" i="7" s="1"/>
  <c r="AX193" i="7"/>
  <c r="AW193" i="7" s="1"/>
  <c r="AX205" i="7"/>
  <c r="AW205" i="7" s="1"/>
  <c r="AX217" i="7"/>
  <c r="AW217" i="7" s="1"/>
  <c r="AX229" i="7"/>
  <c r="AW229" i="7" s="1"/>
  <c r="AX241" i="7"/>
  <c r="AW241" i="7" s="1"/>
  <c r="AX253" i="7"/>
  <c r="AW253" i="7" s="1"/>
  <c r="AX265" i="7"/>
  <c r="AW265" i="7" s="1"/>
  <c r="AX277" i="7"/>
  <c r="AW277" i="7" s="1"/>
  <c r="AX289" i="7"/>
  <c r="AW289" i="7" s="1"/>
  <c r="AX301" i="7"/>
  <c r="AW301" i="7" s="1"/>
  <c r="AX313" i="7"/>
  <c r="AW313" i="7" s="1"/>
  <c r="AX325" i="7"/>
  <c r="AW325" i="7" s="1"/>
  <c r="AX337" i="7"/>
  <c r="AW337" i="7" s="1"/>
  <c r="AX349" i="7"/>
  <c r="AW349" i="7" s="1"/>
  <c r="AX361" i="7"/>
  <c r="AW361" i="7" s="1"/>
  <c r="AX373" i="7"/>
  <c r="AW373" i="7" s="1"/>
  <c r="AX174" i="7"/>
  <c r="AW174" i="7" s="1"/>
  <c r="AX258" i="7"/>
  <c r="AW258" i="7" s="1"/>
  <c r="AX366" i="7"/>
  <c r="AW366" i="7" s="1"/>
  <c r="AX14" i="7"/>
  <c r="AW14" i="7" s="1"/>
  <c r="AX26" i="7"/>
  <c r="AW26" i="7" s="1"/>
  <c r="AX38" i="7"/>
  <c r="AW38" i="7" s="1"/>
  <c r="AX50" i="7"/>
  <c r="AW50" i="7" s="1"/>
  <c r="AX62" i="7"/>
  <c r="AW62" i="7" s="1"/>
  <c r="AX74" i="7"/>
  <c r="AW74" i="7" s="1"/>
  <c r="AX86" i="7"/>
  <c r="AW86" i="7" s="1"/>
  <c r="AX98" i="7"/>
  <c r="AW98" i="7" s="1"/>
  <c r="AX110" i="7"/>
  <c r="AW110" i="7" s="1"/>
  <c r="AX122" i="7"/>
  <c r="AW122" i="7" s="1"/>
  <c r="AX134" i="7"/>
  <c r="AW134" i="7" s="1"/>
  <c r="AX146" i="7"/>
  <c r="AW146" i="7" s="1"/>
  <c r="AX158" i="7"/>
  <c r="AW158" i="7" s="1"/>
  <c r="AX170" i="7"/>
  <c r="AW170" i="7" s="1"/>
  <c r="AX182" i="7"/>
  <c r="AW182" i="7" s="1"/>
  <c r="AX194" i="7"/>
  <c r="AW194" i="7" s="1"/>
  <c r="AX206" i="7"/>
  <c r="AW206" i="7" s="1"/>
  <c r="AX218" i="7"/>
  <c r="AW218" i="7" s="1"/>
  <c r="AX230" i="7"/>
  <c r="AW230" i="7" s="1"/>
  <c r="AX242" i="7"/>
  <c r="AW242" i="7" s="1"/>
  <c r="AX254" i="7"/>
  <c r="AW254" i="7" s="1"/>
  <c r="AX266" i="7"/>
  <c r="AW266" i="7" s="1"/>
  <c r="AX278" i="7"/>
  <c r="AW278" i="7" s="1"/>
  <c r="AX290" i="7"/>
  <c r="AW290" i="7" s="1"/>
  <c r="AX302" i="7"/>
  <c r="AW302" i="7" s="1"/>
  <c r="AX314" i="7"/>
  <c r="AW314" i="7" s="1"/>
  <c r="AX326" i="7"/>
  <c r="AW326" i="7" s="1"/>
  <c r="AX338" i="7"/>
  <c r="AW338" i="7" s="1"/>
  <c r="AX350" i="7"/>
  <c r="AW350" i="7" s="1"/>
  <c r="AX362" i="7"/>
  <c r="AW362" i="7" s="1"/>
  <c r="AX374" i="7"/>
  <c r="AW374" i="7" s="1"/>
  <c r="AX42" i="7"/>
  <c r="AW42" i="7" s="1"/>
  <c r="AX90" i="7"/>
  <c r="AW90" i="7" s="1"/>
  <c r="AX162" i="7"/>
  <c r="AW162" i="7" s="1"/>
  <c r="AX234" i="7"/>
  <c r="AW234" i="7" s="1"/>
  <c r="AX342" i="7"/>
  <c r="AW342" i="7" s="1"/>
  <c r="AX15" i="7"/>
  <c r="AW15" i="7" s="1"/>
  <c r="AX27" i="7"/>
  <c r="AW27" i="7" s="1"/>
  <c r="AX39" i="7"/>
  <c r="AW39" i="7" s="1"/>
  <c r="AX51" i="7"/>
  <c r="AW51" i="7" s="1"/>
  <c r="AX63" i="7"/>
  <c r="AW63" i="7" s="1"/>
  <c r="AX75" i="7"/>
  <c r="AW75" i="7" s="1"/>
  <c r="AX87" i="7"/>
  <c r="AW87" i="7" s="1"/>
  <c r="AX99" i="7"/>
  <c r="AW99" i="7" s="1"/>
  <c r="AX111" i="7"/>
  <c r="AW111" i="7" s="1"/>
  <c r="AX123" i="7"/>
  <c r="AW123" i="7" s="1"/>
  <c r="AX135" i="7"/>
  <c r="AW135" i="7" s="1"/>
  <c r="AX147" i="7"/>
  <c r="AW147" i="7" s="1"/>
  <c r="AX159" i="7"/>
  <c r="AW159" i="7" s="1"/>
  <c r="AX171" i="7"/>
  <c r="AW171" i="7" s="1"/>
  <c r="AX183" i="7"/>
  <c r="AW183" i="7" s="1"/>
  <c r="AX195" i="7"/>
  <c r="AW195" i="7" s="1"/>
  <c r="AX207" i="7"/>
  <c r="AW207" i="7" s="1"/>
  <c r="AX219" i="7"/>
  <c r="AW219" i="7" s="1"/>
  <c r="AX231" i="7"/>
  <c r="AW231" i="7" s="1"/>
  <c r="AX243" i="7"/>
  <c r="AW243" i="7" s="1"/>
  <c r="AX255" i="7"/>
  <c r="AW255" i="7" s="1"/>
  <c r="AX267" i="7"/>
  <c r="AW267" i="7" s="1"/>
  <c r="AX279" i="7"/>
  <c r="AW279" i="7" s="1"/>
  <c r="AX291" i="7"/>
  <c r="AW291" i="7" s="1"/>
  <c r="AX303" i="7"/>
  <c r="AW303" i="7" s="1"/>
  <c r="AX315" i="7"/>
  <c r="AW315" i="7" s="1"/>
  <c r="AX327" i="7"/>
  <c r="AW327" i="7" s="1"/>
  <c r="AX339" i="7"/>
  <c r="AW339" i="7" s="1"/>
  <c r="AX351" i="7"/>
  <c r="AW351" i="7" s="1"/>
  <c r="AX363" i="7"/>
  <c r="AW363" i="7" s="1"/>
  <c r="AX375" i="7"/>
  <c r="AW375" i="7" s="1"/>
  <c r="AX30" i="7"/>
  <c r="AW30" i="7" s="1"/>
  <c r="AX54" i="7"/>
  <c r="AW54" i="7" s="1"/>
  <c r="AX102" i="7"/>
  <c r="AW102" i="7" s="1"/>
  <c r="AX210" i="7"/>
  <c r="AW210" i="7" s="1"/>
  <c r="AX294" i="7"/>
  <c r="AW294" i="7" s="1"/>
  <c r="AX103" i="7"/>
  <c r="AW103" i="7" s="1"/>
  <c r="AX247" i="7"/>
  <c r="AW247" i="7" s="1"/>
  <c r="AX8" i="7"/>
  <c r="AW8" i="7" s="1"/>
  <c r="AX115" i="7"/>
  <c r="AW115" i="7" s="1"/>
  <c r="AX271" i="7"/>
  <c r="AW271" i="7" s="1"/>
  <c r="AX283" i="7"/>
  <c r="AW283" i="7" s="1"/>
  <c r="AX295" i="7"/>
  <c r="AW295" i="7" s="1"/>
  <c r="AX175" i="7"/>
  <c r="AW175" i="7" s="1"/>
  <c r="AX319" i="7"/>
  <c r="AW319" i="7" s="1"/>
  <c r="AX187" i="7"/>
  <c r="AW187" i="7" s="1"/>
  <c r="AX330" i="7"/>
  <c r="AW330" i="7" s="1"/>
  <c r="AX199" i="7"/>
  <c r="AW199" i="7" s="1"/>
  <c r="AX331" i="7"/>
  <c r="AW331" i="7" s="1"/>
  <c r="AX211" i="7"/>
  <c r="AW211" i="7" s="1"/>
  <c r="AX343" i="7"/>
  <c r="AW343" i="7" s="1"/>
  <c r="AX259" i="7"/>
  <c r="AW259" i="7" s="1"/>
  <c r="AX139" i="7"/>
  <c r="AW139" i="7" s="1"/>
  <c r="AX163" i="7"/>
  <c r="AW163" i="7" s="1"/>
  <c r="AX223" i="7"/>
  <c r="AW223" i="7" s="1"/>
  <c r="AX355" i="7"/>
  <c r="AW355" i="7" s="1"/>
  <c r="AX235" i="7"/>
  <c r="AW235" i="7" s="1"/>
  <c r="AX367" i="7"/>
  <c r="AW367" i="7" s="1"/>
  <c r="AX127" i="7"/>
  <c r="AW127" i="7" s="1"/>
  <c r="AX151" i="7"/>
  <c r="AW151" i="7" s="1"/>
  <c r="AX307" i="7"/>
  <c r="AW307" i="7" s="1"/>
  <c r="AJ108" i="7"/>
  <c r="AQ32" i="7"/>
  <c r="AM124" i="7" s="1"/>
  <c r="F41" i="7"/>
  <c r="D45" i="7" s="1"/>
  <c r="E117" i="7"/>
  <c r="D51" i="7" s="1"/>
  <c r="AB158" i="7"/>
  <c r="AF160" i="7" s="1"/>
  <c r="AD160" i="7" s="1"/>
  <c r="AC66" i="7" s="1"/>
  <c r="D110" i="7"/>
  <c r="AB150" i="7"/>
  <c r="AF152" i="7" s="1"/>
  <c r="AD152" i="7" s="1"/>
  <c r="AC61" i="7" s="1"/>
  <c r="BY274" i="3"/>
  <c r="BY286" i="3"/>
  <c r="BY263" i="3"/>
  <c r="BY275" i="3"/>
  <c r="BY287" i="3"/>
  <c r="BY299" i="3"/>
  <c r="BY20" i="3"/>
  <c r="BY32" i="3"/>
  <c r="BY44" i="3"/>
  <c r="BY264" i="3"/>
  <c r="BY276" i="3"/>
  <c r="BY288" i="3"/>
  <c r="BY300" i="3"/>
  <c r="BY21" i="3"/>
  <c r="BY33" i="3"/>
  <c r="BY45" i="3"/>
  <c r="BY57" i="3"/>
  <c r="BY69" i="3"/>
  <c r="BY81" i="3"/>
  <c r="BY93" i="3"/>
  <c r="BY105" i="3"/>
  <c r="BY117" i="3"/>
  <c r="BY129" i="3"/>
  <c r="BY141" i="3"/>
  <c r="BY153" i="3"/>
  <c r="BY165" i="3"/>
  <c r="BY177" i="3"/>
  <c r="BY189" i="3"/>
  <c r="BY201" i="3"/>
  <c r="BY213" i="3"/>
  <c r="BY225" i="3"/>
  <c r="BY237" i="3"/>
  <c r="BY249" i="3"/>
  <c r="BY261" i="3"/>
  <c r="BY265" i="3"/>
  <c r="BY277" i="3"/>
  <c r="BY289" i="3"/>
  <c r="BY301" i="3"/>
  <c r="BY10" i="3"/>
  <c r="BY22" i="3"/>
  <c r="BY34" i="3"/>
  <c r="BY46" i="3"/>
  <c r="BY58" i="3"/>
  <c r="BY70" i="3"/>
  <c r="BY82" i="3"/>
  <c r="BY94" i="3"/>
  <c r="BY106" i="3"/>
  <c r="BY118" i="3"/>
  <c r="BY130" i="3"/>
  <c r="BY142" i="3"/>
  <c r="BY154" i="3"/>
  <c r="BY166" i="3"/>
  <c r="BY178" i="3"/>
  <c r="BY190" i="3"/>
  <c r="BY202" i="3"/>
  <c r="BY214" i="3"/>
  <c r="BY226" i="3"/>
  <c r="BY238" i="3"/>
  <c r="BY250" i="3"/>
  <c r="BY262" i="3"/>
  <c r="BY266" i="3"/>
  <c r="BY278" i="3"/>
  <c r="BY290" i="3"/>
  <c r="BY302" i="3"/>
  <c r="BY11" i="3"/>
  <c r="BY23" i="3"/>
  <c r="BY35" i="3"/>
  <c r="BY47" i="3"/>
  <c r="BY59" i="3"/>
  <c r="BY71" i="3"/>
  <c r="BY83" i="3"/>
  <c r="BY95" i="3"/>
  <c r="BY107" i="3"/>
  <c r="BY119" i="3"/>
  <c r="BY131" i="3"/>
  <c r="BY143" i="3"/>
  <c r="BY155" i="3"/>
  <c r="BY167" i="3"/>
  <c r="BY179" i="3"/>
  <c r="BY191" i="3"/>
  <c r="BY203" i="3"/>
  <c r="BY215" i="3"/>
  <c r="BY227" i="3"/>
  <c r="BY239" i="3"/>
  <c r="BY251" i="3"/>
  <c r="BY9" i="3"/>
  <c r="BY267" i="3"/>
  <c r="BY279" i="3"/>
  <c r="BY291" i="3"/>
  <c r="BY303" i="3"/>
  <c r="BY12" i="3"/>
  <c r="BY24" i="3"/>
  <c r="BY36" i="3"/>
  <c r="BY48" i="3"/>
  <c r="BY60" i="3"/>
  <c r="BY72" i="3"/>
  <c r="BY84" i="3"/>
  <c r="BY96" i="3"/>
  <c r="BY108" i="3"/>
  <c r="BY120" i="3"/>
  <c r="BY132" i="3"/>
  <c r="BY144" i="3"/>
  <c r="BY156" i="3"/>
  <c r="BY168" i="3"/>
  <c r="BY180" i="3"/>
  <c r="BY192" i="3"/>
  <c r="BY204" i="3"/>
  <c r="BY216" i="3"/>
  <c r="BY228" i="3"/>
  <c r="BY240" i="3"/>
  <c r="BY252" i="3"/>
  <c r="BY7" i="3"/>
  <c r="BY268" i="3"/>
  <c r="BY280" i="3"/>
  <c r="BY292" i="3"/>
  <c r="BY304" i="3"/>
  <c r="BY13" i="3"/>
  <c r="BY25" i="3"/>
  <c r="BY37" i="3"/>
  <c r="BY49" i="3"/>
  <c r="BY61" i="3"/>
  <c r="BY73" i="3"/>
  <c r="BY85" i="3"/>
  <c r="BY97" i="3"/>
  <c r="BY109" i="3"/>
  <c r="BY121" i="3"/>
  <c r="BY133" i="3"/>
  <c r="BY145" i="3"/>
  <c r="BY157" i="3"/>
  <c r="BY169" i="3"/>
  <c r="BY181" i="3"/>
  <c r="BY193" i="3"/>
  <c r="BY205" i="3"/>
  <c r="BY217" i="3"/>
  <c r="BY229" i="3"/>
  <c r="BY241" i="3"/>
  <c r="BY253" i="3"/>
  <c r="BY8" i="3"/>
  <c r="BY293" i="3"/>
  <c r="BY14" i="3"/>
  <c r="BY38" i="3"/>
  <c r="BY56" i="3"/>
  <c r="BY78" i="3"/>
  <c r="BY100" i="3"/>
  <c r="BY122" i="3"/>
  <c r="BY139" i="3"/>
  <c r="BY161" i="3"/>
  <c r="BY183" i="3"/>
  <c r="BY200" i="3"/>
  <c r="BY222" i="3"/>
  <c r="BY244" i="3"/>
  <c r="BY294" i="3"/>
  <c r="BY270" i="3"/>
  <c r="BY296" i="3"/>
  <c r="BY17" i="3"/>
  <c r="BY41" i="3"/>
  <c r="BY64" i="3"/>
  <c r="BY86" i="3"/>
  <c r="BY103" i="3"/>
  <c r="BY125" i="3"/>
  <c r="BY147" i="3"/>
  <c r="BY164" i="3"/>
  <c r="BY186" i="3"/>
  <c r="BY208" i="3"/>
  <c r="BY230" i="3"/>
  <c r="BY247" i="3"/>
  <c r="BY271" i="3"/>
  <c r="BY297" i="3"/>
  <c r="BY18" i="3"/>
  <c r="BY42" i="3"/>
  <c r="BY65" i="3"/>
  <c r="BY87" i="3"/>
  <c r="BY104" i="3"/>
  <c r="BY126" i="3"/>
  <c r="BY148" i="3"/>
  <c r="BY170" i="3"/>
  <c r="BY187" i="3"/>
  <c r="BY209" i="3"/>
  <c r="BY231" i="3"/>
  <c r="BY248" i="3"/>
  <c r="BY273" i="3"/>
  <c r="BY305" i="3"/>
  <c r="BY26" i="3"/>
  <c r="BY50" i="3"/>
  <c r="BY67" i="3"/>
  <c r="BY89" i="3"/>
  <c r="BY111" i="3"/>
  <c r="BY128" i="3"/>
  <c r="BY150" i="3"/>
  <c r="BY172" i="3"/>
  <c r="BY194" i="3"/>
  <c r="BY211" i="3"/>
  <c r="BY233" i="3"/>
  <c r="BY255" i="3"/>
  <c r="BY281" i="3"/>
  <c r="BY306" i="3"/>
  <c r="BY283" i="3"/>
  <c r="BY29" i="3"/>
  <c r="BY53" i="3"/>
  <c r="BY75" i="3"/>
  <c r="BY92" i="3"/>
  <c r="BY114" i="3"/>
  <c r="BY136" i="3"/>
  <c r="BY158" i="3"/>
  <c r="BY175" i="3"/>
  <c r="BY197" i="3"/>
  <c r="BY219" i="3"/>
  <c r="BY236" i="3"/>
  <c r="BY258" i="3"/>
  <c r="BY284" i="3"/>
  <c r="BY285" i="3"/>
  <c r="BY15" i="3"/>
  <c r="BY54" i="3"/>
  <c r="BY90" i="3"/>
  <c r="BY124" i="3"/>
  <c r="BY160" i="3"/>
  <c r="BY196" i="3"/>
  <c r="BY232" i="3"/>
  <c r="BY55" i="3"/>
  <c r="BY91" i="3"/>
  <c r="BY295" i="3"/>
  <c r="BY16" i="3"/>
  <c r="BY127" i="3"/>
  <c r="BY298" i="3"/>
  <c r="BY19" i="3"/>
  <c r="BY307" i="3"/>
  <c r="BY27" i="3"/>
  <c r="BY63" i="3"/>
  <c r="BY28" i="3"/>
  <c r="BY66" i="3"/>
  <c r="BY101" i="3"/>
  <c r="BY137" i="3"/>
  <c r="BY173" i="3"/>
  <c r="BY207" i="3"/>
  <c r="BY243" i="3"/>
  <c r="BY74" i="3"/>
  <c r="BY140" i="3"/>
  <c r="BY212" i="3"/>
  <c r="BY76" i="3"/>
  <c r="BY146" i="3"/>
  <c r="BY218" i="3"/>
  <c r="BY77" i="3"/>
  <c r="BY149" i="3"/>
  <c r="BY220" i="3"/>
  <c r="BY159" i="3"/>
  <c r="BY30" i="3"/>
  <c r="BY68" i="3"/>
  <c r="BY102" i="3"/>
  <c r="BY138" i="3"/>
  <c r="BY174" i="3"/>
  <c r="BY210" i="3"/>
  <c r="BY245" i="3"/>
  <c r="BY31" i="3"/>
  <c r="BY110" i="3"/>
  <c r="BY176" i="3"/>
  <c r="BY246" i="3"/>
  <c r="BY39" i="3"/>
  <c r="BY112" i="3"/>
  <c r="BY182" i="3"/>
  <c r="BY254" i="3"/>
  <c r="BY40" i="3"/>
  <c r="BY113" i="3"/>
  <c r="BY184" i="3"/>
  <c r="BY256" i="3"/>
  <c r="BY52" i="3"/>
  <c r="BY195" i="3"/>
  <c r="BY162" i="3"/>
  <c r="BY88" i="3"/>
  <c r="BY224" i="3"/>
  <c r="BY234" i="3"/>
  <c r="BY269" i="3"/>
  <c r="BY43" i="3"/>
  <c r="BY79" i="3"/>
  <c r="BY115" i="3"/>
  <c r="BY151" i="3"/>
  <c r="BY185" i="3"/>
  <c r="BY221" i="3"/>
  <c r="BY257" i="3"/>
  <c r="BY272" i="3"/>
  <c r="BY51" i="3"/>
  <c r="BY80" i="3"/>
  <c r="BY116" i="3"/>
  <c r="BY152" i="3"/>
  <c r="BY188" i="3"/>
  <c r="BY223" i="3"/>
  <c r="BY259" i="3"/>
  <c r="BY282" i="3"/>
  <c r="BY123" i="3"/>
  <c r="BY260" i="3"/>
  <c r="BY198" i="3"/>
  <c r="BY163" i="3"/>
  <c r="BY199" i="3"/>
  <c r="BY206" i="3"/>
  <c r="BY235" i="3"/>
  <c r="BY99" i="3"/>
  <c r="BY134" i="3"/>
  <c r="BY171" i="3"/>
  <c r="BY242" i="3"/>
  <c r="BY62" i="3"/>
  <c r="BY98" i="3"/>
  <c r="BY135" i="3"/>
  <c r="BZ266" i="3"/>
  <c r="BZ278" i="3"/>
  <c r="BX278" i="3" s="1"/>
  <c r="BZ290" i="3"/>
  <c r="BZ302" i="3"/>
  <c r="BX302" i="3" s="1"/>
  <c r="BZ267" i="3"/>
  <c r="BZ279" i="3"/>
  <c r="BZ291" i="3"/>
  <c r="BZ303" i="3"/>
  <c r="BX303" i="3" s="1"/>
  <c r="BZ21" i="3"/>
  <c r="BZ33" i="3"/>
  <c r="BZ45" i="3"/>
  <c r="BZ57" i="3"/>
  <c r="BZ69" i="3"/>
  <c r="BX69" i="3" s="1"/>
  <c r="BZ268" i="3"/>
  <c r="BZ280" i="3"/>
  <c r="BX280" i="3" s="1"/>
  <c r="BZ292" i="3"/>
  <c r="BX292" i="3" s="1"/>
  <c r="BZ304" i="3"/>
  <c r="BZ22" i="3"/>
  <c r="BZ34" i="3"/>
  <c r="BZ46" i="3"/>
  <c r="BX46" i="3" s="1"/>
  <c r="BZ58" i="3"/>
  <c r="BX58" i="3" s="1"/>
  <c r="BZ70" i="3"/>
  <c r="BZ82" i="3"/>
  <c r="BZ269" i="3"/>
  <c r="BX269" i="3" s="1"/>
  <c r="BZ281" i="3"/>
  <c r="BZ293" i="3"/>
  <c r="BX293" i="3" s="1"/>
  <c r="BZ305" i="3"/>
  <c r="BZ270" i="3"/>
  <c r="BZ282" i="3"/>
  <c r="BZ294" i="3"/>
  <c r="BZ306" i="3"/>
  <c r="BZ271" i="3"/>
  <c r="BZ283" i="3"/>
  <c r="BZ295" i="3"/>
  <c r="BZ307" i="3"/>
  <c r="BZ25" i="3"/>
  <c r="BZ37" i="3"/>
  <c r="BZ49" i="3"/>
  <c r="BZ61" i="3"/>
  <c r="BZ73" i="3"/>
  <c r="BX73" i="3" s="1"/>
  <c r="BZ85" i="3"/>
  <c r="BZ272" i="3"/>
  <c r="BZ296" i="3"/>
  <c r="BZ14" i="3"/>
  <c r="BX14" i="3" s="1"/>
  <c r="BZ29" i="3"/>
  <c r="BZ44" i="3"/>
  <c r="BZ62" i="3"/>
  <c r="BZ77" i="3"/>
  <c r="BZ91" i="3"/>
  <c r="BZ103" i="3"/>
  <c r="BX103" i="3" s="1"/>
  <c r="BZ115" i="3"/>
  <c r="BZ127" i="3"/>
  <c r="BX127" i="3" s="1"/>
  <c r="BZ139" i="3"/>
  <c r="BZ151" i="3"/>
  <c r="BZ163" i="3"/>
  <c r="BZ175" i="3"/>
  <c r="BZ187" i="3"/>
  <c r="BZ199" i="3"/>
  <c r="BZ211" i="3"/>
  <c r="BX211" i="3" s="1"/>
  <c r="BZ223" i="3"/>
  <c r="BZ235" i="3"/>
  <c r="BZ247" i="3"/>
  <c r="BZ259" i="3"/>
  <c r="BZ273" i="3"/>
  <c r="BZ297" i="3"/>
  <c r="BZ275" i="3"/>
  <c r="BZ299" i="3"/>
  <c r="BX299" i="3" s="1"/>
  <c r="BZ17" i="3"/>
  <c r="BZ32" i="3"/>
  <c r="BZ50" i="3"/>
  <c r="BZ65" i="3"/>
  <c r="BZ80" i="3"/>
  <c r="BZ94" i="3"/>
  <c r="BZ106" i="3"/>
  <c r="BZ118" i="3"/>
  <c r="BZ130" i="3"/>
  <c r="BZ142" i="3"/>
  <c r="BZ154" i="3"/>
  <c r="BZ166" i="3"/>
  <c r="BZ178" i="3"/>
  <c r="BZ190" i="3"/>
  <c r="BX190" i="3" s="1"/>
  <c r="BZ202" i="3"/>
  <c r="BX202" i="3" s="1"/>
  <c r="BZ214" i="3"/>
  <c r="BZ226" i="3"/>
  <c r="BZ238" i="3"/>
  <c r="BZ250" i="3"/>
  <c r="BZ262" i="3"/>
  <c r="BZ276" i="3"/>
  <c r="BZ300" i="3"/>
  <c r="BZ18" i="3"/>
  <c r="BZ35" i="3"/>
  <c r="BX35" i="3" s="1"/>
  <c r="BZ51" i="3"/>
  <c r="BZ66" i="3"/>
  <c r="BZ81" i="3"/>
  <c r="BX81" i="3" s="1"/>
  <c r="BZ95" i="3"/>
  <c r="BX95" i="3" s="1"/>
  <c r="BZ107" i="3"/>
  <c r="BX107" i="3" s="1"/>
  <c r="BZ119" i="3"/>
  <c r="BX119" i="3" s="1"/>
  <c r="BZ131" i="3"/>
  <c r="BX131" i="3" s="1"/>
  <c r="BZ143" i="3"/>
  <c r="BX143" i="3" s="1"/>
  <c r="BZ155" i="3"/>
  <c r="BX155" i="3" s="1"/>
  <c r="BZ167" i="3"/>
  <c r="BX167" i="3" s="1"/>
  <c r="BZ179" i="3"/>
  <c r="BX179" i="3" s="1"/>
  <c r="BZ191" i="3"/>
  <c r="BX191" i="3" s="1"/>
  <c r="BZ203" i="3"/>
  <c r="BX203" i="3" s="1"/>
  <c r="BZ215" i="3"/>
  <c r="BX215" i="3" s="1"/>
  <c r="BZ227" i="3"/>
  <c r="BX227" i="3" s="1"/>
  <c r="BZ239" i="3"/>
  <c r="BX239" i="3" s="1"/>
  <c r="BZ251" i="3"/>
  <c r="BX251" i="3" s="1"/>
  <c r="BZ7" i="3"/>
  <c r="BZ284" i="3"/>
  <c r="BZ20" i="3"/>
  <c r="BX20" i="3" s="1"/>
  <c r="BZ38" i="3"/>
  <c r="BZ53" i="3"/>
  <c r="BX53" i="3" s="1"/>
  <c r="BZ68" i="3"/>
  <c r="BX68" i="3" s="1"/>
  <c r="BZ84" i="3"/>
  <c r="BZ97" i="3"/>
  <c r="BZ109" i="3"/>
  <c r="BZ121" i="3"/>
  <c r="BX121" i="3" s="1"/>
  <c r="BZ133" i="3"/>
  <c r="BX133" i="3" s="1"/>
  <c r="BZ145" i="3"/>
  <c r="BZ157" i="3"/>
  <c r="BZ169" i="3"/>
  <c r="BZ181" i="3"/>
  <c r="BZ193" i="3"/>
  <c r="BZ205" i="3"/>
  <c r="BZ217" i="3"/>
  <c r="BZ229" i="3"/>
  <c r="BZ241" i="3"/>
  <c r="BZ253" i="3"/>
  <c r="BZ9" i="3"/>
  <c r="BZ285" i="3"/>
  <c r="BX285" i="3" s="1"/>
  <c r="BZ263" i="3"/>
  <c r="BZ287" i="3"/>
  <c r="BZ26" i="3"/>
  <c r="BX26" i="3" s="1"/>
  <c r="BZ41" i="3"/>
  <c r="BZ56" i="3"/>
  <c r="BZ74" i="3"/>
  <c r="BZ88" i="3"/>
  <c r="BZ100" i="3"/>
  <c r="BZ112" i="3"/>
  <c r="BZ124" i="3"/>
  <c r="BZ136" i="3"/>
  <c r="BX136" i="3" s="1"/>
  <c r="BZ148" i="3"/>
  <c r="BX148" i="3" s="1"/>
  <c r="BZ160" i="3"/>
  <c r="BZ172" i="3"/>
  <c r="BZ184" i="3"/>
  <c r="BZ196" i="3"/>
  <c r="BZ208" i="3"/>
  <c r="BZ220" i="3"/>
  <c r="BZ232" i="3"/>
  <c r="BZ244" i="3"/>
  <c r="BX244" i="3" s="1"/>
  <c r="BZ256" i="3"/>
  <c r="BZ12" i="3"/>
  <c r="BX12" i="3" s="1"/>
  <c r="BZ264" i="3"/>
  <c r="BZ288" i="3"/>
  <c r="BX288" i="3" s="1"/>
  <c r="BZ134" i="3"/>
  <c r="BZ15" i="3"/>
  <c r="BZ42" i="3"/>
  <c r="BX42" i="3" s="1"/>
  <c r="BZ71" i="3"/>
  <c r="BZ93" i="3"/>
  <c r="BZ114" i="3"/>
  <c r="BZ135" i="3"/>
  <c r="BZ156" i="3"/>
  <c r="BX156" i="3" s="1"/>
  <c r="BZ176" i="3"/>
  <c r="BZ197" i="3"/>
  <c r="BZ218" i="3"/>
  <c r="BZ237" i="3"/>
  <c r="BZ258" i="3"/>
  <c r="BZ16" i="3"/>
  <c r="BZ137" i="3"/>
  <c r="BZ96" i="3"/>
  <c r="BX96" i="3" s="1"/>
  <c r="BZ265" i="3"/>
  <c r="BZ24" i="3"/>
  <c r="BZ52" i="3"/>
  <c r="BZ78" i="3"/>
  <c r="BZ101" i="3"/>
  <c r="BZ122" i="3"/>
  <c r="BZ141" i="3"/>
  <c r="BZ162" i="3"/>
  <c r="BZ183" i="3"/>
  <c r="BZ204" i="3"/>
  <c r="BZ224" i="3"/>
  <c r="BZ245" i="3"/>
  <c r="BZ10" i="3"/>
  <c r="BZ144" i="3"/>
  <c r="BX144" i="3" s="1"/>
  <c r="BZ185" i="3"/>
  <c r="BZ225" i="3"/>
  <c r="BX225" i="3" s="1"/>
  <c r="BZ11" i="3"/>
  <c r="BZ28" i="3"/>
  <c r="BZ83" i="3"/>
  <c r="BX83" i="3" s="1"/>
  <c r="BZ125" i="3"/>
  <c r="BZ165" i="3"/>
  <c r="BZ207" i="3"/>
  <c r="BZ248" i="3"/>
  <c r="BZ286" i="3"/>
  <c r="BX286" i="3" s="1"/>
  <c r="BZ30" i="3"/>
  <c r="BZ86" i="3"/>
  <c r="BZ126" i="3"/>
  <c r="BZ188" i="3"/>
  <c r="BX188" i="3" s="1"/>
  <c r="BZ230" i="3"/>
  <c r="BX230" i="3" s="1"/>
  <c r="BZ289" i="3"/>
  <c r="BZ31" i="3"/>
  <c r="BZ87" i="3"/>
  <c r="BZ149" i="3"/>
  <c r="BZ189" i="3"/>
  <c r="BZ231" i="3"/>
  <c r="BZ92" i="3"/>
  <c r="BZ257" i="3"/>
  <c r="BZ72" i="3"/>
  <c r="BZ274" i="3"/>
  <c r="BZ27" i="3"/>
  <c r="BZ54" i="3"/>
  <c r="BZ79" i="3"/>
  <c r="BZ102" i="3"/>
  <c r="BZ123" i="3"/>
  <c r="BX123" i="3" s="1"/>
  <c r="BZ164" i="3"/>
  <c r="BZ206" i="3"/>
  <c r="BZ246" i="3"/>
  <c r="BZ277" i="3"/>
  <c r="BZ55" i="3"/>
  <c r="BZ104" i="3"/>
  <c r="BZ146" i="3"/>
  <c r="BZ186" i="3"/>
  <c r="BX186" i="3" s="1"/>
  <c r="BZ228" i="3"/>
  <c r="BZ13" i="3"/>
  <c r="BZ105" i="3"/>
  <c r="BZ147" i="3"/>
  <c r="BZ209" i="3"/>
  <c r="BZ249" i="3"/>
  <c r="BZ60" i="3"/>
  <c r="BZ108" i="3"/>
  <c r="BZ170" i="3"/>
  <c r="BZ210" i="3"/>
  <c r="BZ67" i="3"/>
  <c r="BZ195" i="3"/>
  <c r="BZ59" i="3"/>
  <c r="BX59" i="3" s="1"/>
  <c r="BZ168" i="3"/>
  <c r="BX168" i="3" s="1"/>
  <c r="BZ252" i="3"/>
  <c r="BZ40" i="3"/>
  <c r="BZ153" i="3"/>
  <c r="BX153" i="3" s="1"/>
  <c r="BZ43" i="3"/>
  <c r="BX43" i="3" s="1"/>
  <c r="BZ198" i="3"/>
  <c r="BX198" i="3" s="1"/>
  <c r="BZ174" i="3"/>
  <c r="BZ219" i="3"/>
  <c r="BZ128" i="3"/>
  <c r="BZ216" i="3"/>
  <c r="BZ177" i="3"/>
  <c r="BZ298" i="3"/>
  <c r="BX298" i="3" s="1"/>
  <c r="BZ36" i="3"/>
  <c r="BZ63" i="3"/>
  <c r="BZ89" i="3"/>
  <c r="BX89" i="3" s="1"/>
  <c r="BZ110" i="3"/>
  <c r="BZ129" i="3"/>
  <c r="BZ150" i="3"/>
  <c r="BZ171" i="3"/>
  <c r="BZ192" i="3"/>
  <c r="BZ212" i="3"/>
  <c r="BZ233" i="3"/>
  <c r="BZ254" i="3"/>
  <c r="BX254" i="3" s="1"/>
  <c r="BZ301" i="3"/>
  <c r="BZ39" i="3"/>
  <c r="BZ64" i="3"/>
  <c r="BZ90" i="3"/>
  <c r="BX90" i="3" s="1"/>
  <c r="BZ111" i="3"/>
  <c r="BX111" i="3" s="1"/>
  <c r="BZ132" i="3"/>
  <c r="BZ152" i="3"/>
  <c r="BX152" i="3" s="1"/>
  <c r="BZ173" i="3"/>
  <c r="BZ194" i="3"/>
  <c r="BZ213" i="3"/>
  <c r="BX213" i="3" s="1"/>
  <c r="BZ234" i="3"/>
  <c r="BZ255" i="3"/>
  <c r="BZ113" i="3"/>
  <c r="BZ236" i="3"/>
  <c r="BZ116" i="3"/>
  <c r="BX116" i="3" s="1"/>
  <c r="BZ98" i="3"/>
  <c r="BX98" i="3" s="1"/>
  <c r="BZ201" i="3"/>
  <c r="BZ117" i="3"/>
  <c r="BZ120" i="3"/>
  <c r="BZ240" i="3"/>
  <c r="BX240" i="3" s="1"/>
  <c r="BZ138" i="3"/>
  <c r="BZ242" i="3"/>
  <c r="BZ23" i="3"/>
  <c r="BX23" i="3" s="1"/>
  <c r="BZ261" i="3"/>
  <c r="BZ47" i="3"/>
  <c r="BX47" i="3" s="1"/>
  <c r="BZ8" i="3"/>
  <c r="BX8" i="3" s="1"/>
  <c r="BZ182" i="3"/>
  <c r="BX182" i="3" s="1"/>
  <c r="BZ76" i="3"/>
  <c r="BX76" i="3" s="1"/>
  <c r="BZ99" i="3"/>
  <c r="BX99" i="3" s="1"/>
  <c r="BZ221" i="3"/>
  <c r="BZ222" i="3"/>
  <c r="BX222" i="3" s="1"/>
  <c r="BZ140" i="3"/>
  <c r="BZ243" i="3"/>
  <c r="BX243" i="3" s="1"/>
  <c r="BZ19" i="3"/>
  <c r="BZ158" i="3"/>
  <c r="BZ260" i="3"/>
  <c r="BZ159" i="3"/>
  <c r="BZ161" i="3"/>
  <c r="BZ48" i="3"/>
  <c r="BZ180" i="3"/>
  <c r="BZ75" i="3"/>
  <c r="BZ200" i="3"/>
  <c r="C43" i="3"/>
  <c r="C40" i="3"/>
  <c r="BQ9" i="3"/>
  <c r="BQ6" i="3"/>
  <c r="R42" i="3" s="1"/>
  <c r="BR9" i="3"/>
  <c r="BR6" i="3"/>
  <c r="R39" i="3" s="1"/>
  <c r="BN7" i="3"/>
  <c r="Z42" i="3" s="1"/>
  <c r="BO7" i="3"/>
  <c r="Z39" i="3" s="1"/>
  <c r="BN5" i="3"/>
  <c r="BO5" i="3"/>
  <c r="C34" i="3"/>
  <c r="BP6" i="3"/>
  <c r="C49" i="3"/>
  <c r="B48" i="3"/>
  <c r="C48" i="3"/>
  <c r="BA338" i="7" l="1"/>
  <c r="AZ338" i="7" s="1"/>
  <c r="BA17" i="7"/>
  <c r="AZ17" i="7" s="1"/>
  <c r="BA25" i="7"/>
  <c r="AZ25" i="7" s="1"/>
  <c r="BA32" i="7"/>
  <c r="AZ32" i="7" s="1"/>
  <c r="BA66" i="7"/>
  <c r="AZ66" i="7" s="1"/>
  <c r="BA73" i="7"/>
  <c r="AZ73" i="7" s="1"/>
  <c r="BA86" i="7"/>
  <c r="AZ86" i="7" s="1"/>
  <c r="BA92" i="7"/>
  <c r="AZ92" i="7" s="1"/>
  <c r="BA111" i="7"/>
  <c r="AZ111" i="7" s="1"/>
  <c r="BA117" i="7"/>
  <c r="AZ117" i="7" s="1"/>
  <c r="BA136" i="7"/>
  <c r="AZ136" i="7" s="1"/>
  <c r="BA142" i="7"/>
  <c r="AZ142" i="7" s="1"/>
  <c r="BA182" i="7"/>
  <c r="AZ182" i="7" s="1"/>
  <c r="BA189" i="7"/>
  <c r="AZ189" i="7" s="1"/>
  <c r="BA196" i="7"/>
  <c r="AZ196" i="7" s="1"/>
  <c r="BA210" i="7"/>
  <c r="AZ210" i="7" s="1"/>
  <c r="BA218" i="7"/>
  <c r="AZ218" i="7" s="1"/>
  <c r="BA226" i="7"/>
  <c r="AZ226" i="7" s="1"/>
  <c r="BA234" i="7"/>
  <c r="AZ234" i="7" s="1"/>
  <c r="BA242" i="7"/>
  <c r="AZ242" i="7" s="1"/>
  <c r="BA250" i="7"/>
  <c r="AZ250" i="7" s="1"/>
  <c r="BA258" i="7"/>
  <c r="AZ258" i="7" s="1"/>
  <c r="BA266" i="7"/>
  <c r="AZ266" i="7" s="1"/>
  <c r="BA274" i="7"/>
  <c r="AZ274" i="7" s="1"/>
  <c r="BA282" i="7"/>
  <c r="AZ282" i="7" s="1"/>
  <c r="BA204" i="7"/>
  <c r="AZ204" i="7" s="1"/>
  <c r="BA109" i="7"/>
  <c r="AZ109" i="7" s="1"/>
  <c r="BA30" i="7"/>
  <c r="AZ30" i="7" s="1"/>
  <c r="BA122" i="7"/>
  <c r="AZ122" i="7" s="1"/>
  <c r="BA240" i="7"/>
  <c r="AZ240" i="7" s="1"/>
  <c r="BA148" i="7"/>
  <c r="AZ148" i="7" s="1"/>
  <c r="BA202" i="7"/>
  <c r="AZ202" i="7" s="1"/>
  <c r="BA310" i="7"/>
  <c r="AZ310" i="7" s="1"/>
  <c r="BA348" i="7"/>
  <c r="AZ348" i="7" s="1"/>
  <c r="BA46" i="7"/>
  <c r="AZ46" i="7" s="1"/>
  <c r="BA53" i="7"/>
  <c r="AZ53" i="7" s="1"/>
  <c r="BA60" i="7"/>
  <c r="AZ60" i="7" s="1"/>
  <c r="BA80" i="7"/>
  <c r="AZ80" i="7" s="1"/>
  <c r="BA99" i="7"/>
  <c r="AZ99" i="7" s="1"/>
  <c r="BA105" i="7"/>
  <c r="AZ105" i="7" s="1"/>
  <c r="BA124" i="7"/>
  <c r="AZ124" i="7" s="1"/>
  <c r="BA130" i="7"/>
  <c r="AZ130" i="7" s="1"/>
  <c r="BA149" i="7"/>
  <c r="AZ149" i="7" s="1"/>
  <c r="BA162" i="7"/>
  <c r="AZ162" i="7" s="1"/>
  <c r="BA169" i="7"/>
  <c r="AZ169" i="7" s="1"/>
  <c r="BA176" i="7"/>
  <c r="AZ176" i="7" s="1"/>
  <c r="BA57" i="7"/>
  <c r="AZ57" i="7" s="1"/>
  <c r="BA166" i="7"/>
  <c r="AZ166" i="7" s="1"/>
  <c r="BA201" i="7"/>
  <c r="AZ201" i="7" s="1"/>
  <c r="BA256" i="7"/>
  <c r="AZ256" i="7" s="1"/>
  <c r="BA330" i="7"/>
  <c r="AZ330" i="7" s="1"/>
  <c r="BA358" i="7"/>
  <c r="AZ358" i="7" s="1"/>
  <c r="BA18" i="7"/>
  <c r="AZ18" i="7" s="1"/>
  <c r="BA26" i="7"/>
  <c r="AZ26" i="7" s="1"/>
  <c r="BA33" i="7"/>
  <c r="AZ33" i="7" s="1"/>
  <c r="BA40" i="7"/>
  <c r="AZ40" i="7" s="1"/>
  <c r="BA74" i="7"/>
  <c r="AZ74" i="7" s="1"/>
  <c r="BA87" i="7"/>
  <c r="AZ87" i="7" s="1"/>
  <c r="BA93" i="7"/>
  <c r="AZ93" i="7" s="1"/>
  <c r="BA112" i="7"/>
  <c r="AZ112" i="7" s="1"/>
  <c r="BA118" i="7"/>
  <c r="AZ118" i="7" s="1"/>
  <c r="BA137" i="7"/>
  <c r="AZ137" i="7" s="1"/>
  <c r="BA156" i="7"/>
  <c r="AZ156" i="7" s="1"/>
  <c r="BA190" i="7"/>
  <c r="AZ190" i="7" s="1"/>
  <c r="BA197" i="7"/>
  <c r="AZ197" i="7" s="1"/>
  <c r="BA140" i="7"/>
  <c r="AZ140" i="7" s="1"/>
  <c r="BA97" i="7"/>
  <c r="AZ97" i="7" s="1"/>
  <c r="BA147" i="7"/>
  <c r="AZ147" i="7" s="1"/>
  <c r="BA208" i="7"/>
  <c r="AZ208" i="7" s="1"/>
  <c r="BA280" i="7"/>
  <c r="AZ280" i="7" s="1"/>
  <c r="BA104" i="7"/>
  <c r="AZ104" i="7" s="1"/>
  <c r="BA161" i="7"/>
  <c r="AZ161" i="7" s="1"/>
  <c r="BA54" i="7"/>
  <c r="AZ54" i="7" s="1"/>
  <c r="BA61" i="7"/>
  <c r="AZ61" i="7" s="1"/>
  <c r="BA68" i="7"/>
  <c r="AZ68" i="7" s="1"/>
  <c r="BA81" i="7"/>
  <c r="AZ81" i="7" s="1"/>
  <c r="BA100" i="7"/>
  <c r="AZ100" i="7" s="1"/>
  <c r="BA106" i="7"/>
  <c r="AZ106" i="7" s="1"/>
  <c r="BA125" i="7"/>
  <c r="AZ125" i="7" s="1"/>
  <c r="BA144" i="7"/>
  <c r="AZ144" i="7" s="1"/>
  <c r="BA150" i="7"/>
  <c r="AZ150" i="7" s="1"/>
  <c r="BA170" i="7"/>
  <c r="AZ170" i="7" s="1"/>
  <c r="BA177" i="7"/>
  <c r="AZ177" i="7" s="1"/>
  <c r="BA184" i="7"/>
  <c r="AZ184" i="7" s="1"/>
  <c r="BA212" i="7"/>
  <c r="AZ212" i="7" s="1"/>
  <c r="BA220" i="7"/>
  <c r="AZ220" i="7" s="1"/>
  <c r="BA228" i="7"/>
  <c r="AZ228" i="7" s="1"/>
  <c r="BA236" i="7"/>
  <c r="AZ236" i="7" s="1"/>
  <c r="BA244" i="7"/>
  <c r="AZ244" i="7" s="1"/>
  <c r="BA252" i="7"/>
  <c r="AZ252" i="7" s="1"/>
  <c r="BA260" i="7"/>
  <c r="AZ260" i="7" s="1"/>
  <c r="BA268" i="7"/>
  <c r="AZ268" i="7" s="1"/>
  <c r="BA276" i="7"/>
  <c r="AZ276" i="7" s="1"/>
  <c r="BA284" i="7"/>
  <c r="AZ284" i="7" s="1"/>
  <c r="BA173" i="7"/>
  <c r="AZ173" i="7" s="1"/>
  <c r="BA326" i="7"/>
  <c r="AZ326" i="7" s="1"/>
  <c r="BA78" i="7"/>
  <c r="AZ78" i="7" s="1"/>
  <c r="BA288" i="7"/>
  <c r="AZ288" i="7" s="1"/>
  <c r="BA123" i="7"/>
  <c r="AZ123" i="7" s="1"/>
  <c r="BA322" i="7"/>
  <c r="AZ322" i="7" s="1"/>
  <c r="BA350" i="7"/>
  <c r="AZ350" i="7" s="1"/>
  <c r="BA34" i="7"/>
  <c r="AZ34" i="7" s="1"/>
  <c r="BA41" i="7"/>
  <c r="AZ41" i="7" s="1"/>
  <c r="BA48" i="7"/>
  <c r="AZ48" i="7" s="1"/>
  <c r="BA88" i="7"/>
  <c r="AZ88" i="7" s="1"/>
  <c r="BA94" i="7"/>
  <c r="AZ94" i="7" s="1"/>
  <c r="BA113" i="7"/>
  <c r="AZ113" i="7" s="1"/>
  <c r="BA132" i="7"/>
  <c r="AZ132" i="7" s="1"/>
  <c r="BA138" i="7"/>
  <c r="AZ138" i="7" s="1"/>
  <c r="BA157" i="7"/>
  <c r="AZ157" i="7" s="1"/>
  <c r="BA164" i="7"/>
  <c r="AZ164" i="7" s="1"/>
  <c r="BA198" i="7"/>
  <c r="AZ198" i="7" s="1"/>
  <c r="BA205" i="7"/>
  <c r="AZ205" i="7" s="1"/>
  <c r="BA22" i="7"/>
  <c r="AZ22" i="7" s="1"/>
  <c r="BA84" i="7"/>
  <c r="AZ84" i="7" s="1"/>
  <c r="BA159" i="7"/>
  <c r="AZ159" i="7" s="1"/>
  <c r="BA128" i="7"/>
  <c r="AZ128" i="7" s="1"/>
  <c r="BA194" i="7"/>
  <c r="AZ194" i="7" s="1"/>
  <c r="BA248" i="7"/>
  <c r="AZ248" i="7" s="1"/>
  <c r="BA342" i="7"/>
  <c r="AZ342" i="7" s="1"/>
  <c r="BA28" i="7"/>
  <c r="AZ28" i="7" s="1"/>
  <c r="BA62" i="7"/>
  <c r="AZ62" i="7" s="1"/>
  <c r="BA69" i="7"/>
  <c r="AZ69" i="7" s="1"/>
  <c r="BA76" i="7"/>
  <c r="AZ76" i="7" s="1"/>
  <c r="BA82" i="7"/>
  <c r="AZ82" i="7" s="1"/>
  <c r="BA101" i="7"/>
  <c r="AZ101" i="7" s="1"/>
  <c r="BA120" i="7"/>
  <c r="AZ120" i="7" s="1"/>
  <c r="BA126" i="7"/>
  <c r="AZ126" i="7" s="1"/>
  <c r="BA145" i="7"/>
  <c r="AZ145" i="7" s="1"/>
  <c r="BA151" i="7"/>
  <c r="AZ151" i="7" s="1"/>
  <c r="BA178" i="7"/>
  <c r="AZ178" i="7" s="1"/>
  <c r="BA185" i="7"/>
  <c r="AZ185" i="7" s="1"/>
  <c r="BA192" i="7"/>
  <c r="AZ192" i="7" s="1"/>
  <c r="BA180" i="7"/>
  <c r="AZ180" i="7" s="1"/>
  <c r="BA224" i="7"/>
  <c r="AZ224" i="7" s="1"/>
  <c r="BA272" i="7"/>
  <c r="AZ272" i="7" s="1"/>
  <c r="BA154" i="7"/>
  <c r="AZ154" i="7" s="1"/>
  <c r="BA314" i="7"/>
  <c r="AZ314" i="7" s="1"/>
  <c r="BA21" i="7"/>
  <c r="AZ21" i="7" s="1"/>
  <c r="BA42" i="7"/>
  <c r="AZ42" i="7" s="1"/>
  <c r="BA49" i="7"/>
  <c r="AZ49" i="7" s="1"/>
  <c r="BA56" i="7"/>
  <c r="AZ56" i="7" s="1"/>
  <c r="BA89" i="7"/>
  <c r="AZ89" i="7" s="1"/>
  <c r="BA108" i="7"/>
  <c r="AZ108" i="7" s="1"/>
  <c r="BA114" i="7"/>
  <c r="AZ114" i="7" s="1"/>
  <c r="BA133" i="7"/>
  <c r="AZ133" i="7" s="1"/>
  <c r="BA139" i="7"/>
  <c r="AZ139" i="7" s="1"/>
  <c r="BA158" i="7"/>
  <c r="AZ158" i="7" s="1"/>
  <c r="BA165" i="7"/>
  <c r="AZ165" i="7" s="1"/>
  <c r="BA172" i="7"/>
  <c r="AZ172" i="7" s="1"/>
  <c r="BA206" i="7"/>
  <c r="AZ206" i="7" s="1"/>
  <c r="BA214" i="7"/>
  <c r="AZ214" i="7" s="1"/>
  <c r="BA222" i="7"/>
  <c r="AZ222" i="7" s="1"/>
  <c r="BA230" i="7"/>
  <c r="AZ230" i="7" s="1"/>
  <c r="BA238" i="7"/>
  <c r="AZ238" i="7" s="1"/>
  <c r="BA246" i="7"/>
  <c r="AZ246" i="7" s="1"/>
  <c r="BA254" i="7"/>
  <c r="AZ254" i="7" s="1"/>
  <c r="BA262" i="7"/>
  <c r="AZ262" i="7" s="1"/>
  <c r="BA270" i="7"/>
  <c r="AZ270" i="7" s="1"/>
  <c r="BA278" i="7"/>
  <c r="AZ278" i="7" s="1"/>
  <c r="BA286" i="7"/>
  <c r="AZ286" i="7" s="1"/>
  <c r="BA64" i="7"/>
  <c r="AZ64" i="7" s="1"/>
  <c r="BA115" i="7"/>
  <c r="AZ115" i="7" s="1"/>
  <c r="BA37" i="7"/>
  <c r="AZ37" i="7" s="1"/>
  <c r="BA103" i="7"/>
  <c r="AZ103" i="7" s="1"/>
  <c r="BA153" i="7"/>
  <c r="AZ153" i="7" s="1"/>
  <c r="BA216" i="7"/>
  <c r="AZ216" i="7" s="1"/>
  <c r="BA264" i="7"/>
  <c r="AZ264" i="7" s="1"/>
  <c r="BA168" i="7"/>
  <c r="AZ168" i="7" s="1"/>
  <c r="BA334" i="7"/>
  <c r="AZ334" i="7" s="1"/>
  <c r="BA362" i="7"/>
  <c r="AZ362" i="7" s="1"/>
  <c r="BA29" i="7"/>
  <c r="AZ29" i="7" s="1"/>
  <c r="BA36" i="7"/>
  <c r="AZ36" i="7" s="1"/>
  <c r="BA70" i="7"/>
  <c r="AZ70" i="7" s="1"/>
  <c r="BA77" i="7"/>
  <c r="AZ77" i="7" s="1"/>
  <c r="BA96" i="7"/>
  <c r="AZ96" i="7" s="1"/>
  <c r="BA102" i="7"/>
  <c r="AZ102" i="7" s="1"/>
  <c r="BA121" i="7"/>
  <c r="AZ121" i="7" s="1"/>
  <c r="BA127" i="7"/>
  <c r="AZ127" i="7" s="1"/>
  <c r="BA146" i="7"/>
  <c r="AZ146" i="7" s="1"/>
  <c r="BA152" i="7"/>
  <c r="AZ152" i="7" s="1"/>
  <c r="BA186" i="7"/>
  <c r="AZ186" i="7" s="1"/>
  <c r="BA193" i="7"/>
  <c r="AZ193" i="7" s="1"/>
  <c r="BA200" i="7"/>
  <c r="AZ200" i="7" s="1"/>
  <c r="BA50" i="7"/>
  <c r="AZ50" i="7" s="1"/>
  <c r="BA90" i="7"/>
  <c r="AZ90" i="7" s="1"/>
  <c r="BA134" i="7"/>
  <c r="AZ134" i="7" s="1"/>
  <c r="BA354" i="7"/>
  <c r="AZ354" i="7" s="1"/>
  <c r="BA44" i="7"/>
  <c r="AZ44" i="7" s="1"/>
  <c r="BA232" i="7"/>
  <c r="AZ232" i="7" s="1"/>
  <c r="BA129" i="7"/>
  <c r="AZ129" i="7" s="1"/>
  <c r="BA346" i="7"/>
  <c r="AZ346" i="7" s="1"/>
  <c r="BA58" i="7"/>
  <c r="AZ58" i="7" s="1"/>
  <c r="BA65" i="7"/>
  <c r="AZ65" i="7" s="1"/>
  <c r="BA72" i="7"/>
  <c r="AZ72" i="7" s="1"/>
  <c r="BA85" i="7"/>
  <c r="AZ85" i="7" s="1"/>
  <c r="BA91" i="7"/>
  <c r="AZ91" i="7" s="1"/>
  <c r="BA110" i="7"/>
  <c r="AZ110" i="7" s="1"/>
  <c r="BA116" i="7"/>
  <c r="AZ116" i="7" s="1"/>
  <c r="BA135" i="7"/>
  <c r="AZ135" i="7" s="1"/>
  <c r="BA141" i="7"/>
  <c r="AZ141" i="7" s="1"/>
  <c r="BA174" i="7"/>
  <c r="AZ174" i="7" s="1"/>
  <c r="BA181" i="7"/>
  <c r="AZ181" i="7" s="1"/>
  <c r="BA188" i="7"/>
  <c r="AZ188" i="7" s="1"/>
  <c r="BA318" i="7"/>
  <c r="AZ318" i="7" s="1"/>
  <c r="BA38" i="7"/>
  <c r="AZ38" i="7" s="1"/>
  <c r="BA45" i="7"/>
  <c r="AZ45" i="7" s="1"/>
  <c r="BA52" i="7"/>
  <c r="AZ52" i="7" s="1"/>
  <c r="BA79" i="7"/>
  <c r="AZ79" i="7" s="1"/>
  <c r="BA98" i="7"/>
  <c r="AZ98" i="7" s="1"/>
  <c r="BA249" i="7"/>
  <c r="AZ249" i="7" s="1"/>
  <c r="BA327" i="7"/>
  <c r="AZ327" i="7" s="1"/>
  <c r="BA336" i="7"/>
  <c r="AZ336" i="7" s="1"/>
  <c r="BA63" i="7"/>
  <c r="AZ63" i="7" s="1"/>
  <c r="BA207" i="7"/>
  <c r="AZ207" i="7" s="1"/>
  <c r="BA361" i="7"/>
  <c r="AZ361" i="7" s="1"/>
  <c r="BA277" i="7"/>
  <c r="AZ277" i="7" s="1"/>
  <c r="BA20" i="7"/>
  <c r="AZ20" i="7" s="1"/>
  <c r="BA296" i="7"/>
  <c r="AZ296" i="7" s="1"/>
  <c r="BA394" i="7"/>
  <c r="AZ394" i="7" s="1"/>
  <c r="BA131" i="7"/>
  <c r="AZ131" i="7" s="1"/>
  <c r="BA387" i="7"/>
  <c r="AZ387" i="7" s="1"/>
  <c r="BA368" i="7"/>
  <c r="AZ368" i="7" s="1"/>
  <c r="BA39" i="7"/>
  <c r="AZ39" i="7" s="1"/>
  <c r="BA223" i="7"/>
  <c r="AZ223" i="7" s="1"/>
  <c r="BA366" i="7"/>
  <c r="AZ366" i="7" s="1"/>
  <c r="BA221" i="7"/>
  <c r="AZ221" i="7" s="1"/>
  <c r="BA360" i="7"/>
  <c r="AZ360" i="7" s="1"/>
  <c r="BA59" i="7"/>
  <c r="AZ59" i="7" s="1"/>
  <c r="BA400" i="7"/>
  <c r="AZ400" i="7" s="1"/>
  <c r="BA332" i="7"/>
  <c r="AZ332" i="7" s="1"/>
  <c r="BA319" i="7"/>
  <c r="AZ319" i="7" s="1"/>
  <c r="BA388" i="7"/>
  <c r="AZ388" i="7" s="1"/>
  <c r="BA265" i="7"/>
  <c r="AZ265" i="7" s="1"/>
  <c r="BA31" i="7"/>
  <c r="AZ31" i="7" s="1"/>
  <c r="BA167" i="7"/>
  <c r="AZ167" i="7" s="1"/>
  <c r="BA317" i="7"/>
  <c r="AZ317" i="7" s="1"/>
  <c r="BA306" i="7"/>
  <c r="AZ306" i="7" s="1"/>
  <c r="BA295" i="7"/>
  <c r="AZ295" i="7" s="1"/>
  <c r="BA351" i="7"/>
  <c r="AZ351" i="7" s="1"/>
  <c r="BA269" i="7"/>
  <c r="AZ269" i="7" s="1"/>
  <c r="BA316" i="7"/>
  <c r="AZ316" i="7" s="1"/>
  <c r="BA382" i="7"/>
  <c r="AZ382" i="7" s="1"/>
  <c r="BA47" i="7"/>
  <c r="AZ47" i="7" s="1"/>
  <c r="BA263" i="7"/>
  <c r="AZ263" i="7" s="1"/>
  <c r="BA339" i="7"/>
  <c r="AZ339" i="7" s="1"/>
  <c r="BA300" i="7"/>
  <c r="AZ300" i="7" s="1"/>
  <c r="BA267" i="7"/>
  <c r="AZ267" i="7" s="1"/>
  <c r="BA356" i="7"/>
  <c r="AZ356" i="7" s="1"/>
  <c r="BA305" i="7"/>
  <c r="AZ305" i="7" s="1"/>
  <c r="BA67" i="7"/>
  <c r="AZ67" i="7" s="1"/>
  <c r="BA324" i="7"/>
  <c r="AZ324" i="7" s="1"/>
  <c r="BA301" i="7"/>
  <c r="AZ301" i="7" s="1"/>
  <c r="BA299" i="7"/>
  <c r="AZ299" i="7" s="1"/>
  <c r="BA396" i="7"/>
  <c r="AZ396" i="7" s="1"/>
  <c r="BA404" i="7"/>
  <c r="AZ404" i="7" s="1"/>
  <c r="BA402" i="7"/>
  <c r="AZ402" i="7" s="1"/>
  <c r="BA24" i="7"/>
  <c r="AZ24" i="7" s="1"/>
  <c r="BA160" i="7"/>
  <c r="AZ160" i="7" s="1"/>
  <c r="BA281" i="7"/>
  <c r="AZ281" i="7" s="1"/>
  <c r="BA294" i="7"/>
  <c r="AZ294" i="7" s="1"/>
  <c r="BA386" i="7"/>
  <c r="AZ386" i="7" s="1"/>
  <c r="BA333" i="7"/>
  <c r="AZ333" i="7" s="1"/>
  <c r="BA261" i="7"/>
  <c r="AZ261" i="7" s="1"/>
  <c r="BA304" i="7"/>
  <c r="AZ304" i="7" s="1"/>
  <c r="BA215" i="7"/>
  <c r="AZ215" i="7" s="1"/>
  <c r="BA370" i="7"/>
  <c r="AZ370" i="7" s="1"/>
  <c r="BA302" i="7"/>
  <c r="AZ302" i="7" s="1"/>
  <c r="BA307" i="7"/>
  <c r="AZ307" i="7" s="1"/>
  <c r="BA320" i="7"/>
  <c r="AZ320" i="7" s="1"/>
  <c r="BA403" i="7"/>
  <c r="AZ403" i="7" s="1"/>
  <c r="BA243" i="7"/>
  <c r="AZ243" i="7" s="1"/>
  <c r="BA347" i="7"/>
  <c r="AZ347" i="7" s="1"/>
  <c r="BA308" i="7"/>
  <c r="AZ308" i="7" s="1"/>
  <c r="BA329" i="7"/>
  <c r="AZ329" i="7" s="1"/>
  <c r="BA293" i="7"/>
  <c r="AZ293" i="7" s="1"/>
  <c r="BA340" i="7"/>
  <c r="AZ340" i="7" s="1"/>
  <c r="BA171" i="7"/>
  <c r="AZ171" i="7" s="1"/>
  <c r="BA16" i="7"/>
  <c r="AZ16" i="7" s="1"/>
  <c r="BA51" i="7"/>
  <c r="AZ51" i="7" s="1"/>
  <c r="BA209" i="7"/>
  <c r="AZ209" i="7" s="1"/>
  <c r="BA397" i="7"/>
  <c r="AZ397" i="7" s="1"/>
  <c r="BA325" i="7"/>
  <c r="AZ325" i="7" s="1"/>
  <c r="BA323" i="7"/>
  <c r="AZ323" i="7" s="1"/>
  <c r="BA253" i="7"/>
  <c r="AZ253" i="7" s="1"/>
  <c r="BA292" i="7"/>
  <c r="AZ292" i="7" s="1"/>
  <c r="BA359" i="7"/>
  <c r="AZ359" i="7" s="1"/>
  <c r="BA290" i="7"/>
  <c r="AZ290" i="7" s="1"/>
  <c r="BA283" i="7"/>
  <c r="AZ283" i="7" s="1"/>
  <c r="BA257" i="7"/>
  <c r="AZ257" i="7" s="1"/>
  <c r="BA391" i="7"/>
  <c r="AZ391" i="7" s="1"/>
  <c r="BA219" i="7"/>
  <c r="AZ219" i="7" s="1"/>
  <c r="BA328" i="7"/>
  <c r="AZ328" i="7" s="1"/>
  <c r="BA343" i="7"/>
  <c r="AZ343" i="7" s="1"/>
  <c r="BA27" i="7"/>
  <c r="AZ27" i="7" s="1"/>
  <c r="BA275" i="7"/>
  <c r="AZ275" i="7" s="1"/>
  <c r="BA344" i="7"/>
  <c r="AZ344" i="7" s="1"/>
  <c r="BA187" i="7"/>
  <c r="AZ187" i="7" s="1"/>
  <c r="BA251" i="7"/>
  <c r="AZ251" i="7" s="1"/>
  <c r="BA365" i="7"/>
  <c r="AZ365" i="7" s="1"/>
  <c r="BA313" i="7"/>
  <c r="AZ313" i="7" s="1"/>
  <c r="BA227" i="7"/>
  <c r="AZ227" i="7" s="1"/>
  <c r="BA23" i="7"/>
  <c r="AZ23" i="7" s="1"/>
  <c r="BA239" i="7"/>
  <c r="AZ239" i="7" s="1"/>
  <c r="BA385" i="7"/>
  <c r="AZ385" i="7" s="1"/>
  <c r="BA199" i="7"/>
  <c r="AZ199" i="7" s="1"/>
  <c r="BA289" i="7"/>
  <c r="AZ289" i="7" s="1"/>
  <c r="BA245" i="7"/>
  <c r="AZ245" i="7" s="1"/>
  <c r="BA395" i="7"/>
  <c r="AZ395" i="7" s="1"/>
  <c r="BA191" i="7"/>
  <c r="AZ191" i="7" s="1"/>
  <c r="BA341" i="7"/>
  <c r="AZ341" i="7" s="1"/>
  <c r="BA393" i="7"/>
  <c r="AZ393" i="7" s="1"/>
  <c r="BA259" i="7"/>
  <c r="AZ259" i="7" s="1"/>
  <c r="BA363" i="7"/>
  <c r="AZ363" i="7" s="1"/>
  <c r="BA379" i="7"/>
  <c r="AZ379" i="7" s="1"/>
  <c r="BA183" i="7"/>
  <c r="AZ183" i="7" s="1"/>
  <c r="BA353" i="7"/>
  <c r="AZ353" i="7" s="1"/>
  <c r="BA213" i="7"/>
  <c r="AZ213" i="7" s="1"/>
  <c r="BA247" i="7"/>
  <c r="AZ247" i="7" s="1"/>
  <c r="BA298" i="7"/>
  <c r="AZ298" i="7" s="1"/>
  <c r="BA15" i="7"/>
  <c r="AZ15" i="7" s="1"/>
  <c r="BA398" i="7"/>
  <c r="AZ398" i="7" s="1"/>
  <c r="BA373" i="7"/>
  <c r="AZ373" i="7" s="1"/>
  <c r="BA95" i="7"/>
  <c r="AZ95" i="7" s="1"/>
  <c r="BA217" i="7"/>
  <c r="AZ217" i="7" s="1"/>
  <c r="BA237" i="7"/>
  <c r="AZ237" i="7" s="1"/>
  <c r="BA383" i="7"/>
  <c r="AZ383" i="7" s="1"/>
  <c r="BA119" i="7"/>
  <c r="AZ119" i="7" s="1"/>
  <c r="BA331" i="7"/>
  <c r="AZ331" i="7" s="1"/>
  <c r="BA381" i="7"/>
  <c r="AZ381" i="7" s="1"/>
  <c r="BA235" i="7"/>
  <c r="AZ235" i="7" s="1"/>
  <c r="BA279" i="7"/>
  <c r="AZ279" i="7" s="1"/>
  <c r="BA367" i="7"/>
  <c r="AZ367" i="7" s="1"/>
  <c r="BA143" i="7"/>
  <c r="AZ143" i="7" s="1"/>
  <c r="BA297" i="7"/>
  <c r="AZ297" i="7" s="1"/>
  <c r="BA241" i="7"/>
  <c r="AZ241" i="7" s="1"/>
  <c r="BA335" i="7"/>
  <c r="AZ335" i="7" s="1"/>
  <c r="BA233" i="7"/>
  <c r="AZ233" i="7" s="1"/>
  <c r="BA321" i="7"/>
  <c r="AZ321" i="7" s="1"/>
  <c r="BA401" i="7"/>
  <c r="AZ401" i="7" s="1"/>
  <c r="BA309" i="7"/>
  <c r="AZ309" i="7" s="1"/>
  <c r="BA374" i="7"/>
  <c r="AZ374" i="7" s="1"/>
  <c r="BA352" i="7"/>
  <c r="AZ352" i="7" s="1"/>
  <c r="BA35" i="7"/>
  <c r="AZ35" i="7" s="1"/>
  <c r="BA71" i="7"/>
  <c r="AZ71" i="7" s="1"/>
  <c r="BA229" i="7"/>
  <c r="AZ229" i="7" s="1"/>
  <c r="BA371" i="7"/>
  <c r="AZ371" i="7" s="1"/>
  <c r="BA75" i="7"/>
  <c r="AZ75" i="7" s="1"/>
  <c r="BA312" i="7"/>
  <c r="AZ312" i="7" s="1"/>
  <c r="BA369" i="7"/>
  <c r="AZ369" i="7" s="1"/>
  <c r="BA211" i="7"/>
  <c r="AZ211" i="7" s="1"/>
  <c r="BA231" i="7"/>
  <c r="AZ231" i="7" s="1"/>
  <c r="BA357" i="7"/>
  <c r="AZ357" i="7" s="1"/>
  <c r="BA175" i="7"/>
  <c r="AZ175" i="7" s="1"/>
  <c r="BA389" i="7"/>
  <c r="AZ389" i="7" s="1"/>
  <c r="BA349" i="7"/>
  <c r="AZ349" i="7" s="1"/>
  <c r="BA377" i="7"/>
  <c r="AZ377" i="7" s="1"/>
  <c r="BA19" i="7"/>
  <c r="AZ19" i="7" s="1"/>
  <c r="BA315" i="7"/>
  <c r="AZ315" i="7" s="1"/>
  <c r="BA399" i="7"/>
  <c r="AZ399" i="7" s="1"/>
  <c r="BA355" i="7"/>
  <c r="AZ355" i="7" s="1"/>
  <c r="BA376" i="7"/>
  <c r="AZ376" i="7" s="1"/>
  <c r="BA179" i="7"/>
  <c r="AZ179" i="7" s="1"/>
  <c r="BA345" i="7"/>
  <c r="AZ345" i="7" s="1"/>
  <c r="BA384" i="7"/>
  <c r="AZ384" i="7" s="1"/>
  <c r="BA43" i="7"/>
  <c r="AZ43" i="7" s="1"/>
  <c r="BA107" i="7"/>
  <c r="AZ107" i="7" s="1"/>
  <c r="BA273" i="7"/>
  <c r="AZ273" i="7" s="1"/>
  <c r="BA303" i="7"/>
  <c r="AZ303" i="7" s="1"/>
  <c r="BA255" i="7"/>
  <c r="AZ255" i="7" s="1"/>
  <c r="BA311" i="7"/>
  <c r="AZ311" i="7" s="1"/>
  <c r="BA392" i="7"/>
  <c r="AZ392" i="7" s="1"/>
  <c r="BA203" i="7"/>
  <c r="AZ203" i="7" s="1"/>
  <c r="BA375" i="7"/>
  <c r="AZ375" i="7" s="1"/>
  <c r="BA390" i="7"/>
  <c r="AZ390" i="7" s="1"/>
  <c r="BA337" i="7"/>
  <c r="AZ337" i="7" s="1"/>
  <c r="BA364" i="7"/>
  <c r="AZ364" i="7" s="1"/>
  <c r="BA83" i="7"/>
  <c r="AZ83" i="7" s="1"/>
  <c r="BA271" i="7"/>
  <c r="AZ271" i="7" s="1"/>
  <c r="BA372" i="7"/>
  <c r="AZ372" i="7" s="1"/>
  <c r="BA285" i="7"/>
  <c r="AZ285" i="7" s="1"/>
  <c r="BA55" i="7"/>
  <c r="AZ55" i="7" s="1"/>
  <c r="BA195" i="7"/>
  <c r="AZ195" i="7" s="1"/>
  <c r="BA291" i="7"/>
  <c r="AZ291" i="7" s="1"/>
  <c r="BA163" i="7"/>
  <c r="AZ163" i="7" s="1"/>
  <c r="BA225" i="7"/>
  <c r="AZ225" i="7" s="1"/>
  <c r="BA380" i="7"/>
  <c r="AZ380" i="7" s="1"/>
  <c r="BA155" i="7"/>
  <c r="AZ155" i="7" s="1"/>
  <c r="BA287" i="7"/>
  <c r="AZ287" i="7" s="1"/>
  <c r="BA378" i="7"/>
  <c r="AZ378" i="7" s="1"/>
  <c r="BA9" i="7"/>
  <c r="AZ9" i="7" s="1"/>
  <c r="BA7" i="7"/>
  <c r="AZ7" i="7" s="1"/>
  <c r="BA5" i="7"/>
  <c r="AZ5" i="7" s="1"/>
  <c r="BA14" i="7"/>
  <c r="AZ14" i="7" s="1"/>
  <c r="BA8" i="7"/>
  <c r="AZ8" i="7" s="1"/>
  <c r="BA10" i="7"/>
  <c r="AZ10" i="7" s="1"/>
  <c r="BA13" i="7"/>
  <c r="AZ13" i="7" s="1"/>
  <c r="BA6" i="7"/>
  <c r="AZ6" i="7" s="1"/>
  <c r="BA4" i="7"/>
  <c r="AZ4" i="7" s="1"/>
  <c r="BA11" i="7"/>
  <c r="AZ11" i="7" s="1"/>
  <c r="BA12" i="7"/>
  <c r="AZ12" i="7" s="1"/>
  <c r="BX307" i="3"/>
  <c r="BX219" i="3"/>
  <c r="BX55" i="3"/>
  <c r="BW55" i="3" s="1"/>
  <c r="AN50" i="3" s="1"/>
  <c r="BX10" i="3"/>
  <c r="BW10" i="3" s="1"/>
  <c r="AN5" i="3" s="1"/>
  <c r="BX130" i="3"/>
  <c r="BW130" i="3" s="1"/>
  <c r="AN125" i="3" s="1"/>
  <c r="BX273" i="3"/>
  <c r="BX108" i="3"/>
  <c r="BW108" i="3" s="1"/>
  <c r="AN103" i="3" s="1"/>
  <c r="BX196" i="3"/>
  <c r="BX61" i="3"/>
  <c r="BX221" i="3"/>
  <c r="BW221" i="3" s="1"/>
  <c r="AN216" i="3" s="1"/>
  <c r="BX266" i="3"/>
  <c r="BW266" i="3" s="1"/>
  <c r="AN261" i="3" s="1"/>
  <c r="BX289" i="3"/>
  <c r="AQ284" i="3" s="1"/>
  <c r="BX28" i="3"/>
  <c r="BW28" i="3" s="1"/>
  <c r="AN23" i="3" s="1"/>
  <c r="BX122" i="3"/>
  <c r="BX64" i="3"/>
  <c r="BW64" i="3" s="1"/>
  <c r="AN59" i="3" s="1"/>
  <c r="BX31" i="3"/>
  <c r="BW31" i="3" s="1"/>
  <c r="AN26" i="3" s="1"/>
  <c r="BX218" i="3"/>
  <c r="BW218" i="3" s="1"/>
  <c r="AN213" i="3" s="1"/>
  <c r="BX228" i="3"/>
  <c r="BX84" i="3"/>
  <c r="AQ79" i="3" s="1"/>
  <c r="BX233" i="3"/>
  <c r="BW233" i="3" s="1"/>
  <c r="AN228" i="3" s="1"/>
  <c r="BX274" i="3"/>
  <c r="BX18" i="3"/>
  <c r="BW18" i="3" s="1"/>
  <c r="AN13" i="3" s="1"/>
  <c r="BX205" i="3"/>
  <c r="BW205" i="3" s="1"/>
  <c r="AN200" i="3" s="1"/>
  <c r="BX300" i="3"/>
  <c r="BW300" i="3" s="1"/>
  <c r="AN295" i="3" s="1"/>
  <c r="BX290" i="3"/>
  <c r="BW290" i="3" s="1"/>
  <c r="AN285" i="3" s="1"/>
  <c r="BX165" i="3"/>
  <c r="BW165" i="3" s="1"/>
  <c r="AN160" i="3" s="1"/>
  <c r="BX77" i="3"/>
  <c r="BW77" i="3" s="1"/>
  <c r="AN72" i="3" s="1"/>
  <c r="BX9" i="3"/>
  <c r="BW9" i="3" s="1"/>
  <c r="AN4" i="3" s="1"/>
  <c r="BX197" i="3"/>
  <c r="BW197" i="3" s="1"/>
  <c r="AN192" i="3" s="1"/>
  <c r="BX66" i="3"/>
  <c r="BX21" i="3"/>
  <c r="BW21" i="3" s="1"/>
  <c r="AN16" i="3" s="1"/>
  <c r="BX301" i="3"/>
  <c r="BW301" i="3" s="1"/>
  <c r="AN296" i="3" s="1"/>
  <c r="BX110" i="3"/>
  <c r="AQ105" i="3" s="1"/>
  <c r="BX255" i="3"/>
  <c r="AQ250" i="3" s="1"/>
  <c r="BX195" i="3"/>
  <c r="BW195" i="3" s="1"/>
  <c r="AN190" i="3" s="1"/>
  <c r="BX232" i="3"/>
  <c r="AQ227" i="3" s="1"/>
  <c r="BX217" i="3"/>
  <c r="BW217" i="3" s="1"/>
  <c r="AN212" i="3" s="1"/>
  <c r="BX86" i="3"/>
  <c r="AQ81" i="3" s="1"/>
  <c r="BX142" i="3"/>
  <c r="BW142" i="3" s="1"/>
  <c r="AN137" i="3" s="1"/>
  <c r="BX139" i="3"/>
  <c r="BW139" i="3" s="1"/>
  <c r="AN134" i="3" s="1"/>
  <c r="BX200" i="3"/>
  <c r="BW200" i="3" s="1"/>
  <c r="AN195" i="3" s="1"/>
  <c r="BX132" i="3"/>
  <c r="AQ127" i="3" s="1"/>
  <c r="BX189" i="3"/>
  <c r="BW189" i="3" s="1"/>
  <c r="AN184" i="3" s="1"/>
  <c r="BX287" i="3"/>
  <c r="AQ282" i="3" s="1"/>
  <c r="BX7" i="3"/>
  <c r="BW7" i="3" s="1"/>
  <c r="AN2" i="3" s="1"/>
  <c r="BX91" i="3"/>
  <c r="BW91" i="3" s="1"/>
  <c r="AN86" i="3" s="1"/>
  <c r="BX281" i="3"/>
  <c r="BW281" i="3" s="1"/>
  <c r="AN276" i="3" s="1"/>
  <c r="BX201" i="3"/>
  <c r="AQ196" i="3" s="1"/>
  <c r="BX149" i="3"/>
  <c r="AQ144" i="3" s="1"/>
  <c r="BX263" i="3"/>
  <c r="AQ258" i="3" s="1"/>
  <c r="BX57" i="3"/>
  <c r="BW57" i="3" s="1"/>
  <c r="AN52" i="3" s="1"/>
  <c r="BX183" i="3"/>
  <c r="BW183" i="3" s="1"/>
  <c r="AN178" i="3" s="1"/>
  <c r="BX87" i="3"/>
  <c r="AQ82" i="3" s="1"/>
  <c r="BX125" i="3"/>
  <c r="AQ120" i="3" s="1"/>
  <c r="BX162" i="3"/>
  <c r="BW162" i="3" s="1"/>
  <c r="AN157" i="3" s="1"/>
  <c r="BX65" i="3"/>
  <c r="AQ60" i="3" s="1"/>
  <c r="BX45" i="3"/>
  <c r="AQ40" i="3" s="1"/>
  <c r="BX120" i="3"/>
  <c r="BW120" i="3" s="1"/>
  <c r="AN115" i="3" s="1"/>
  <c r="BX252" i="3"/>
  <c r="BW252" i="3" s="1"/>
  <c r="AN247" i="3" s="1"/>
  <c r="BX50" i="3"/>
  <c r="BW50" i="3" s="1"/>
  <c r="AN45" i="3" s="1"/>
  <c r="BX33" i="3"/>
  <c r="BW33" i="3" s="1"/>
  <c r="AN28" i="3" s="1"/>
  <c r="BX246" i="3"/>
  <c r="AQ241" i="3" s="1"/>
  <c r="BX236" i="3"/>
  <c r="BW236" i="3" s="1"/>
  <c r="AN231" i="3" s="1"/>
  <c r="BX147" i="3"/>
  <c r="BW147" i="3" s="1"/>
  <c r="AN142" i="3" s="1"/>
  <c r="BX161" i="3"/>
  <c r="BW161" i="3" s="1"/>
  <c r="AN156" i="3" s="1"/>
  <c r="BX159" i="3"/>
  <c r="BW159" i="3" s="1"/>
  <c r="AN154" i="3" s="1"/>
  <c r="BX11" i="3"/>
  <c r="AQ6" i="3" s="1"/>
  <c r="BX101" i="3"/>
  <c r="AQ96" i="3" s="1"/>
  <c r="BX241" i="3"/>
  <c r="BW241" i="3" s="1"/>
  <c r="AN236" i="3" s="1"/>
  <c r="BX97" i="3"/>
  <c r="AQ92" i="3" s="1"/>
  <c r="BX178" i="3"/>
  <c r="BW178" i="3" s="1"/>
  <c r="AN173" i="3" s="1"/>
  <c r="BX177" i="3"/>
  <c r="BW177" i="3" s="1"/>
  <c r="AN172" i="3" s="1"/>
  <c r="BX229" i="3"/>
  <c r="BW229" i="3" s="1"/>
  <c r="AN224" i="3" s="1"/>
  <c r="BX166" i="3"/>
  <c r="BW166" i="3" s="1"/>
  <c r="AN161" i="3" s="1"/>
  <c r="BX306" i="3"/>
  <c r="AQ301" i="3" s="1"/>
  <c r="BX137" i="3"/>
  <c r="BW137" i="3" s="1"/>
  <c r="AN132" i="3" s="1"/>
  <c r="BX88" i="3"/>
  <c r="BW88" i="3" s="1"/>
  <c r="AN83" i="3" s="1"/>
  <c r="BX154" i="3"/>
  <c r="AQ149" i="3" s="1"/>
  <c r="BX275" i="3"/>
  <c r="BW275" i="3" s="1"/>
  <c r="AN270" i="3" s="1"/>
  <c r="BX22" i="3"/>
  <c r="BW22" i="3" s="1"/>
  <c r="AN17" i="3" s="1"/>
  <c r="BX279" i="3"/>
  <c r="AQ274" i="3" s="1"/>
  <c r="BX220" i="3"/>
  <c r="BW220" i="3" s="1"/>
  <c r="AN215" i="3" s="1"/>
  <c r="BX85" i="3"/>
  <c r="BW85" i="3" s="1"/>
  <c r="AN80" i="3" s="1"/>
  <c r="BX267" i="3"/>
  <c r="BW267" i="3" s="1"/>
  <c r="AN262" i="3" s="1"/>
  <c r="AA135" i="7"/>
  <c r="F181" i="7"/>
  <c r="AA51" i="7"/>
  <c r="AD137" i="7"/>
  <c r="D119" i="7"/>
  <c r="P51" i="7"/>
  <c r="D124" i="7"/>
  <c r="P160" i="7"/>
  <c r="N160" i="7" s="1"/>
  <c r="M66" i="7" s="1"/>
  <c r="T137" i="7"/>
  <c r="D56" i="7" s="1"/>
  <c r="AE66" i="7"/>
  <c r="AL162" i="7"/>
  <c r="AK69" i="7" s="1"/>
  <c r="D162" i="7"/>
  <c r="D69" i="7" s="1"/>
  <c r="AQ46" i="7"/>
  <c r="F122" i="7" s="1"/>
  <c r="E154" i="7"/>
  <c r="D64" i="7" s="1"/>
  <c r="AL154" i="7"/>
  <c r="AK64" i="7" s="1"/>
  <c r="AE61" i="7"/>
  <c r="Q152" i="7"/>
  <c r="BX305" i="3"/>
  <c r="BW305" i="3" s="1"/>
  <c r="AN300" i="3" s="1"/>
  <c r="BX39" i="3"/>
  <c r="AQ34" i="3" s="1"/>
  <c r="BX253" i="3"/>
  <c r="BW253" i="3" s="1"/>
  <c r="AN248" i="3" s="1"/>
  <c r="BX109" i="3"/>
  <c r="BW109" i="3" s="1"/>
  <c r="AN104" i="3" s="1"/>
  <c r="BX283" i="3"/>
  <c r="BW283" i="3" s="1"/>
  <c r="AN278" i="3" s="1"/>
  <c r="BX75" i="3"/>
  <c r="AQ70" i="3" s="1"/>
  <c r="BX258" i="3"/>
  <c r="AQ253" i="3" s="1"/>
  <c r="BX209" i="3"/>
  <c r="BW209" i="3" s="1"/>
  <c r="AN204" i="3" s="1"/>
  <c r="BX257" i="3"/>
  <c r="BW257" i="3" s="1"/>
  <c r="AN252" i="3" s="1"/>
  <c r="BW243" i="3"/>
  <c r="AN238" i="3" s="1"/>
  <c r="AQ238" i="3"/>
  <c r="BW76" i="3"/>
  <c r="AN71" i="3" s="1"/>
  <c r="AQ71" i="3"/>
  <c r="BW98" i="3"/>
  <c r="AN93" i="3" s="1"/>
  <c r="AQ93" i="3"/>
  <c r="BW90" i="3"/>
  <c r="AN85" i="3" s="1"/>
  <c r="AQ85" i="3"/>
  <c r="BW89" i="3"/>
  <c r="AN84" i="3" s="1"/>
  <c r="AQ84" i="3"/>
  <c r="BW123" i="3"/>
  <c r="AN118" i="3" s="1"/>
  <c r="AQ118" i="3"/>
  <c r="BW288" i="3"/>
  <c r="AN283" i="3" s="1"/>
  <c r="AQ283" i="3"/>
  <c r="BW148" i="3"/>
  <c r="AN143" i="3" s="1"/>
  <c r="AQ143" i="3"/>
  <c r="BW285" i="3"/>
  <c r="AN280" i="3" s="1"/>
  <c r="AQ280" i="3"/>
  <c r="BW133" i="3"/>
  <c r="AN128" i="3" s="1"/>
  <c r="AQ128" i="3"/>
  <c r="BW239" i="3"/>
  <c r="AN234" i="3" s="1"/>
  <c r="AQ234" i="3"/>
  <c r="BW95" i="3"/>
  <c r="AN90" i="3" s="1"/>
  <c r="AQ90" i="3"/>
  <c r="BW211" i="3"/>
  <c r="AN206" i="3" s="1"/>
  <c r="AQ206" i="3"/>
  <c r="BW307" i="3"/>
  <c r="AN302" i="3" s="1"/>
  <c r="AQ302" i="3"/>
  <c r="AQ59" i="3"/>
  <c r="BW83" i="3"/>
  <c r="AN78" i="3" s="1"/>
  <c r="AQ78" i="3"/>
  <c r="BW136" i="3"/>
  <c r="AN131" i="3" s="1"/>
  <c r="AQ131" i="3"/>
  <c r="BW121" i="3"/>
  <c r="AN116" i="3" s="1"/>
  <c r="AQ116" i="3"/>
  <c r="BW227" i="3"/>
  <c r="AN222" i="3" s="1"/>
  <c r="AQ222" i="3"/>
  <c r="BW81" i="3"/>
  <c r="AN76" i="3" s="1"/>
  <c r="AQ76" i="3"/>
  <c r="BW202" i="3"/>
  <c r="AN197" i="3" s="1"/>
  <c r="AQ197" i="3"/>
  <c r="BW182" i="3"/>
  <c r="AN177" i="3" s="1"/>
  <c r="AQ177" i="3"/>
  <c r="BW168" i="3"/>
  <c r="AN163" i="3" s="1"/>
  <c r="AQ163" i="3"/>
  <c r="BW215" i="3"/>
  <c r="AN210" i="3" s="1"/>
  <c r="AQ210" i="3"/>
  <c r="BW66" i="3"/>
  <c r="AN61" i="3" s="1"/>
  <c r="AQ61" i="3"/>
  <c r="BW190" i="3"/>
  <c r="AN185" i="3" s="1"/>
  <c r="AQ185" i="3"/>
  <c r="BW58" i="3"/>
  <c r="AN53" i="3" s="1"/>
  <c r="AQ53" i="3"/>
  <c r="BW122" i="3"/>
  <c r="AN117" i="3" s="1"/>
  <c r="AQ117" i="3"/>
  <c r="BW47" i="3"/>
  <c r="AN42" i="3" s="1"/>
  <c r="AQ42" i="3"/>
  <c r="BW298" i="3"/>
  <c r="AN293" i="3" s="1"/>
  <c r="AQ293" i="3"/>
  <c r="BW59" i="3"/>
  <c r="AN54" i="3" s="1"/>
  <c r="AQ54" i="3"/>
  <c r="BW228" i="3"/>
  <c r="AN223" i="3" s="1"/>
  <c r="AQ223" i="3"/>
  <c r="BW230" i="3"/>
  <c r="AN225" i="3" s="1"/>
  <c r="AQ225" i="3"/>
  <c r="BW203" i="3"/>
  <c r="AN198" i="3" s="1"/>
  <c r="AQ198" i="3"/>
  <c r="BW14" i="3"/>
  <c r="AN9" i="3" s="1"/>
  <c r="AQ9" i="3"/>
  <c r="BW46" i="3"/>
  <c r="AN41" i="3" s="1"/>
  <c r="AQ41" i="3"/>
  <c r="BW303" i="3"/>
  <c r="AN298" i="3" s="1"/>
  <c r="AQ298" i="3"/>
  <c r="BW116" i="3"/>
  <c r="AN111" i="3" s="1"/>
  <c r="AQ111" i="3"/>
  <c r="BW8" i="3"/>
  <c r="AN3" i="3" s="1"/>
  <c r="AQ3" i="3"/>
  <c r="BW254" i="3"/>
  <c r="AN249" i="3" s="1"/>
  <c r="AQ249" i="3"/>
  <c r="BW186" i="3"/>
  <c r="AN181" i="3" s="1"/>
  <c r="AQ181" i="3"/>
  <c r="BW188" i="3"/>
  <c r="AN183" i="3" s="1"/>
  <c r="AQ183" i="3"/>
  <c r="BW225" i="3"/>
  <c r="AN220" i="3" s="1"/>
  <c r="AQ220" i="3"/>
  <c r="BW156" i="3"/>
  <c r="AN151" i="3" s="1"/>
  <c r="AQ151" i="3"/>
  <c r="BW244" i="3"/>
  <c r="AN239" i="3" s="1"/>
  <c r="AQ239" i="3"/>
  <c r="BW84" i="3"/>
  <c r="AN79" i="3" s="1"/>
  <c r="BW191" i="3"/>
  <c r="AN186" i="3" s="1"/>
  <c r="AQ186" i="3"/>
  <c r="BW35" i="3"/>
  <c r="AN30" i="3" s="1"/>
  <c r="AQ30" i="3"/>
  <c r="BW299" i="3"/>
  <c r="AN294" i="3" s="1"/>
  <c r="AQ294" i="3"/>
  <c r="BW23" i="3"/>
  <c r="AN18" i="3" s="1"/>
  <c r="AQ18" i="3"/>
  <c r="BW274" i="3"/>
  <c r="AN269" i="3" s="1"/>
  <c r="AQ269" i="3"/>
  <c r="BW68" i="3"/>
  <c r="AN63" i="3" s="1"/>
  <c r="AQ63" i="3"/>
  <c r="BW179" i="3"/>
  <c r="AN174" i="3" s="1"/>
  <c r="AQ174" i="3"/>
  <c r="BW279" i="3"/>
  <c r="AN274" i="3" s="1"/>
  <c r="BW12" i="3"/>
  <c r="AN7" i="3" s="1"/>
  <c r="AQ7" i="3"/>
  <c r="BW213" i="3"/>
  <c r="AN208" i="3" s="1"/>
  <c r="AQ208" i="3"/>
  <c r="BW86" i="3"/>
  <c r="AN81" i="3" s="1"/>
  <c r="BW144" i="3"/>
  <c r="AN139" i="3" s="1"/>
  <c r="AQ139" i="3"/>
  <c r="BW53" i="3"/>
  <c r="AN48" i="3" s="1"/>
  <c r="AQ48" i="3"/>
  <c r="BW167" i="3"/>
  <c r="AN162" i="3" s="1"/>
  <c r="AQ162" i="3"/>
  <c r="AQ295" i="3"/>
  <c r="BW155" i="3"/>
  <c r="AN150" i="3" s="1"/>
  <c r="AQ150" i="3"/>
  <c r="BW273" i="3"/>
  <c r="AN268" i="3" s="1"/>
  <c r="AQ268" i="3"/>
  <c r="BW127" i="3"/>
  <c r="AN122" i="3" s="1"/>
  <c r="AQ122" i="3"/>
  <c r="BW73" i="3"/>
  <c r="AN68" i="3" s="1"/>
  <c r="AQ68" i="3"/>
  <c r="BW292" i="3"/>
  <c r="AN287" i="3" s="1"/>
  <c r="AQ287" i="3"/>
  <c r="BW302" i="3"/>
  <c r="AN297" i="3" s="1"/>
  <c r="AQ297" i="3"/>
  <c r="BW219" i="3"/>
  <c r="AN214" i="3" s="1"/>
  <c r="AQ214" i="3"/>
  <c r="AQ103" i="3"/>
  <c r="BW196" i="3"/>
  <c r="AN191" i="3" s="1"/>
  <c r="AQ191" i="3"/>
  <c r="BW20" i="3"/>
  <c r="AN15" i="3" s="1"/>
  <c r="AQ15" i="3"/>
  <c r="BW143" i="3"/>
  <c r="AN138" i="3" s="1"/>
  <c r="AQ138" i="3"/>
  <c r="BW61" i="3"/>
  <c r="AN56" i="3" s="1"/>
  <c r="AQ56" i="3"/>
  <c r="BW280" i="3"/>
  <c r="AN275" i="3" s="1"/>
  <c r="AQ275" i="3"/>
  <c r="AQ285" i="3"/>
  <c r="BW222" i="3"/>
  <c r="AN217" i="3" s="1"/>
  <c r="AQ217" i="3"/>
  <c r="BW152" i="3"/>
  <c r="AN147" i="3" s="1"/>
  <c r="AQ147" i="3"/>
  <c r="BW198" i="3"/>
  <c r="AN193" i="3" s="1"/>
  <c r="AQ193" i="3"/>
  <c r="BW246" i="3"/>
  <c r="AN241" i="3" s="1"/>
  <c r="BW42" i="3"/>
  <c r="AN37" i="3" s="1"/>
  <c r="AQ37" i="3"/>
  <c r="BW26" i="3"/>
  <c r="AN21" i="3" s="1"/>
  <c r="AQ21" i="3"/>
  <c r="BW131" i="3"/>
  <c r="AN126" i="3" s="1"/>
  <c r="AQ126" i="3"/>
  <c r="BW103" i="3"/>
  <c r="AN98" i="3" s="1"/>
  <c r="AQ98" i="3"/>
  <c r="BW293" i="3"/>
  <c r="AN288" i="3" s="1"/>
  <c r="AQ288" i="3"/>
  <c r="BW278" i="3"/>
  <c r="AN273" i="3" s="1"/>
  <c r="AQ273" i="3"/>
  <c r="BW96" i="3"/>
  <c r="AN91" i="3" s="1"/>
  <c r="AQ91" i="3"/>
  <c r="BW43" i="3"/>
  <c r="AN38" i="3" s="1"/>
  <c r="AQ38" i="3"/>
  <c r="BW287" i="3"/>
  <c r="AN282" i="3" s="1"/>
  <c r="AQ2" i="3"/>
  <c r="BW119" i="3"/>
  <c r="AN114" i="3" s="1"/>
  <c r="AQ114" i="3"/>
  <c r="BW69" i="3"/>
  <c r="AN64" i="3" s="1"/>
  <c r="AQ64" i="3"/>
  <c r="BW240" i="3"/>
  <c r="AN235" i="3" s="1"/>
  <c r="AQ235" i="3"/>
  <c r="BW286" i="3"/>
  <c r="AN281" i="3" s="1"/>
  <c r="AQ281" i="3"/>
  <c r="BW99" i="3"/>
  <c r="AN94" i="3" s="1"/>
  <c r="AQ94" i="3"/>
  <c r="BW111" i="3"/>
  <c r="AN106" i="3" s="1"/>
  <c r="AQ106" i="3"/>
  <c r="BW110" i="3"/>
  <c r="AN105" i="3" s="1"/>
  <c r="BW153" i="3"/>
  <c r="AN148" i="3" s="1"/>
  <c r="AQ148" i="3"/>
  <c r="AQ160" i="3"/>
  <c r="BW263" i="3"/>
  <c r="AN258" i="3" s="1"/>
  <c r="BW251" i="3"/>
  <c r="AN246" i="3" s="1"/>
  <c r="AQ246" i="3"/>
  <c r="BW107" i="3"/>
  <c r="AN102" i="3" s="1"/>
  <c r="AQ102" i="3"/>
  <c r="BX80" i="3"/>
  <c r="BW269" i="3"/>
  <c r="AN264" i="3" s="1"/>
  <c r="AQ264" i="3"/>
  <c r="BX29" i="3"/>
  <c r="BX234" i="3"/>
  <c r="BX126" i="3"/>
  <c r="BX30" i="3"/>
  <c r="BX284" i="3"/>
  <c r="BX207" i="3"/>
  <c r="BX16" i="3"/>
  <c r="BX235" i="3"/>
  <c r="BX164" i="3"/>
  <c r="BX124" i="3"/>
  <c r="BX27" i="3"/>
  <c r="BX78" i="3"/>
  <c r="BX271" i="3"/>
  <c r="BX17" i="3"/>
  <c r="BX210" i="3"/>
  <c r="BX194" i="3"/>
  <c r="BX265" i="3"/>
  <c r="BX276" i="3"/>
  <c r="BX181" i="3"/>
  <c r="BX60" i="3"/>
  <c r="BX231" i="3"/>
  <c r="BX184" i="3"/>
  <c r="BX250" i="3"/>
  <c r="BX106" i="3"/>
  <c r="BX129" i="3"/>
  <c r="BX204" i="3"/>
  <c r="BX37" i="3"/>
  <c r="BX48" i="3"/>
  <c r="BX264" i="3"/>
  <c r="BX295" i="3"/>
  <c r="BX54" i="3"/>
  <c r="BX261" i="3"/>
  <c r="BX296" i="3"/>
  <c r="BX34" i="3"/>
  <c r="BX291" i="3"/>
  <c r="BX260" i="3"/>
  <c r="BX67" i="3"/>
  <c r="BX52" i="3"/>
  <c r="BX135" i="3"/>
  <c r="BX242" i="3"/>
  <c r="BX212" i="3"/>
  <c r="BX104" i="3"/>
  <c r="BX114" i="3"/>
  <c r="BX56" i="3"/>
  <c r="BX174" i="3"/>
  <c r="BX71" i="3"/>
  <c r="BX113" i="3"/>
  <c r="BX192" i="3"/>
  <c r="BX173" i="3"/>
  <c r="BX224" i="3"/>
  <c r="BX169" i="3"/>
  <c r="BX247" i="3"/>
  <c r="BX268" i="3"/>
  <c r="BX117" i="3"/>
  <c r="BX206" i="3"/>
  <c r="BX172" i="3"/>
  <c r="BX238" i="3"/>
  <c r="BX94" i="3"/>
  <c r="BX25" i="3"/>
  <c r="BX163" i="3"/>
  <c r="BX105" i="3"/>
  <c r="BX102" i="3"/>
  <c r="BX44" i="3"/>
  <c r="BX70" i="3"/>
  <c r="BX36" i="3"/>
  <c r="BX13" i="3"/>
  <c r="BX79" i="3"/>
  <c r="BX32" i="3"/>
  <c r="BX187" i="3"/>
  <c r="BX294" i="3"/>
  <c r="BX19" i="3"/>
  <c r="BX128" i="3"/>
  <c r="BX24" i="3"/>
  <c r="BX74" i="3"/>
  <c r="BX304" i="3"/>
  <c r="BX138" i="3"/>
  <c r="BX170" i="3"/>
  <c r="BX93" i="3"/>
  <c r="BX208" i="3"/>
  <c r="BX38" i="3"/>
  <c r="BX270" i="3"/>
  <c r="BX140" i="3"/>
  <c r="BX171" i="3"/>
  <c r="BX92" i="3"/>
  <c r="BX150" i="3"/>
  <c r="BX249" i="3"/>
  <c r="BX15" i="3"/>
  <c r="BX157" i="3"/>
  <c r="BX134" i="3"/>
  <c r="BX145" i="3"/>
  <c r="BX226" i="3"/>
  <c r="BX223" i="3"/>
  <c r="BX180" i="3"/>
  <c r="BX40" i="3"/>
  <c r="BX237" i="3"/>
  <c r="BX214" i="3"/>
  <c r="BX62" i="3"/>
  <c r="BX82" i="3"/>
  <c r="BX282" i="3"/>
  <c r="BX176" i="3"/>
  <c r="BX112" i="3"/>
  <c r="BX51" i="3"/>
  <c r="BX175" i="3"/>
  <c r="BX272" i="3"/>
  <c r="BX199" i="3"/>
  <c r="BX63" i="3"/>
  <c r="BX141" i="3"/>
  <c r="BX256" i="3"/>
  <c r="BX100" i="3"/>
  <c r="BX158" i="3"/>
  <c r="BX216" i="3"/>
  <c r="BX146" i="3"/>
  <c r="BX185" i="3"/>
  <c r="BX151" i="3"/>
  <c r="BX72" i="3"/>
  <c r="BX297" i="3"/>
  <c r="BX193" i="3"/>
  <c r="BX277" i="3"/>
  <c r="BX245" i="3"/>
  <c r="BX41" i="3"/>
  <c r="BX262" i="3"/>
  <c r="BX118" i="3"/>
  <c r="BX259" i="3"/>
  <c r="BX115" i="3"/>
  <c r="BX248" i="3"/>
  <c r="BX49" i="3"/>
  <c r="BX160" i="3"/>
  <c r="G42" i="3"/>
  <c r="W43" i="3" s="1"/>
  <c r="G39" i="3"/>
  <c r="W40" i="3" s="1"/>
  <c r="O27" i="3"/>
  <c r="AL27" i="3" s="1"/>
  <c r="G37" i="3" s="1"/>
  <c r="AQ5" i="3" l="1"/>
  <c r="BW255" i="3"/>
  <c r="AN250" i="3" s="1"/>
  <c r="AQ213" i="3"/>
  <c r="AQ134" i="3"/>
  <c r="BW97" i="3"/>
  <c r="AN92" i="3" s="1"/>
  <c r="AQ4" i="3"/>
  <c r="AQ86" i="3"/>
  <c r="AQ192" i="3"/>
  <c r="BW11" i="3"/>
  <c r="AN6" i="3" s="1"/>
  <c r="AQ26" i="3"/>
  <c r="AQ16" i="3"/>
  <c r="AQ125" i="3"/>
  <c r="AQ195" i="3"/>
  <c r="BW289" i="3"/>
  <c r="AN284" i="3" s="1"/>
  <c r="AQ228" i="3"/>
  <c r="AQ296" i="3"/>
  <c r="AQ50" i="3"/>
  <c r="AQ17" i="3"/>
  <c r="AQ236" i="3"/>
  <c r="BW101" i="3"/>
  <c r="AN96" i="3" s="1"/>
  <c r="AQ72" i="3"/>
  <c r="BW232" i="3"/>
  <c r="AN227" i="3" s="1"/>
  <c r="AQ212" i="3"/>
  <c r="AQ200" i="3"/>
  <c r="AQ23" i="3"/>
  <c r="BW45" i="3"/>
  <c r="AN40" i="3" s="1"/>
  <c r="AQ215" i="3"/>
  <c r="AQ261" i="3"/>
  <c r="AQ216" i="3"/>
  <c r="AQ115" i="3"/>
  <c r="AQ190" i="3"/>
  <c r="AQ13" i="3"/>
  <c r="BW65" i="3"/>
  <c r="AN60" i="3" s="1"/>
  <c r="AQ262" i="3"/>
  <c r="AQ137" i="3"/>
  <c r="AQ247" i="3"/>
  <c r="BW75" i="3"/>
  <c r="AN70" i="3" s="1"/>
  <c r="AQ161" i="3"/>
  <c r="AQ154" i="3"/>
  <c r="BW87" i="3"/>
  <c r="AN82" i="3" s="1"/>
  <c r="BW258" i="3"/>
  <c r="AN253" i="3" s="1"/>
  <c r="AQ83" i="3"/>
  <c r="AQ173" i="3"/>
  <c r="AQ156" i="3"/>
  <c r="BW132" i="3"/>
  <c r="AN127" i="3" s="1"/>
  <c r="BW39" i="3"/>
  <c r="AN34" i="3" s="1"/>
  <c r="BW149" i="3"/>
  <c r="AN144" i="3" s="1"/>
  <c r="AQ184" i="3"/>
  <c r="AQ224" i="3"/>
  <c r="AQ28" i="3"/>
  <c r="AQ300" i="3"/>
  <c r="BW306" i="3"/>
  <c r="AN301" i="3" s="1"/>
  <c r="BW154" i="3"/>
  <c r="AN149" i="3" s="1"/>
  <c r="BW125" i="3"/>
  <c r="AN120" i="3" s="1"/>
  <c r="AQ52" i="3"/>
  <c r="AQ45" i="3"/>
  <c r="AQ142" i="3"/>
  <c r="AQ178" i="3"/>
  <c r="BW201" i="3"/>
  <c r="AN196" i="3" s="1"/>
  <c r="AQ276" i="3"/>
  <c r="AQ132" i="3"/>
  <c r="AQ80" i="3"/>
  <c r="AQ270" i="3"/>
  <c r="AQ231" i="3"/>
  <c r="AQ157" i="3"/>
  <c r="AQ172" i="3"/>
  <c r="I162" i="7"/>
  <c r="H69" i="7" s="1"/>
  <c r="R137" i="7"/>
  <c r="AQ137" i="7"/>
  <c r="Y54" i="7" s="1"/>
  <c r="F137" i="7"/>
  <c r="D137" i="7" s="1"/>
  <c r="D139" i="7"/>
  <c r="P137" i="7"/>
  <c r="O66" i="7"/>
  <c r="J137" i="7"/>
  <c r="I154" i="7"/>
  <c r="H64" i="7" s="1"/>
  <c r="N152" i="7"/>
  <c r="M61" i="7" s="1"/>
  <c r="O61" i="7"/>
  <c r="AQ278" i="3"/>
  <c r="AQ204" i="3"/>
  <c r="AQ104" i="3"/>
  <c r="AQ248" i="3"/>
  <c r="AQ252" i="3"/>
  <c r="BW128" i="3"/>
  <c r="AN123" i="3" s="1"/>
  <c r="AQ123" i="3"/>
  <c r="BW49" i="3"/>
  <c r="AN44" i="3" s="1"/>
  <c r="AQ44" i="3"/>
  <c r="BW145" i="3"/>
  <c r="AN140" i="3" s="1"/>
  <c r="AQ140" i="3"/>
  <c r="BW117" i="3"/>
  <c r="AN112" i="3" s="1"/>
  <c r="AQ112" i="3"/>
  <c r="BW276" i="3"/>
  <c r="AN271" i="3" s="1"/>
  <c r="AQ271" i="3"/>
  <c r="BW248" i="3"/>
  <c r="AN243" i="3" s="1"/>
  <c r="AQ243" i="3"/>
  <c r="BW134" i="3"/>
  <c r="AN129" i="3" s="1"/>
  <c r="AQ129" i="3"/>
  <c r="BW268" i="3"/>
  <c r="AN263" i="3" s="1"/>
  <c r="AQ263" i="3"/>
  <c r="BW284" i="3"/>
  <c r="AN279" i="3" s="1"/>
  <c r="AQ279" i="3"/>
  <c r="BW216" i="3"/>
  <c r="AN211" i="3" s="1"/>
  <c r="AQ211" i="3"/>
  <c r="BW15" i="3"/>
  <c r="AN10" i="3" s="1"/>
  <c r="AQ10" i="3"/>
  <c r="BW304" i="3"/>
  <c r="AN299" i="3" s="1"/>
  <c r="AQ299" i="3"/>
  <c r="BW169" i="3"/>
  <c r="AN164" i="3" s="1"/>
  <c r="AQ164" i="3"/>
  <c r="BW37" i="3"/>
  <c r="AN32" i="3" s="1"/>
  <c r="AQ32" i="3"/>
  <c r="BW126" i="3"/>
  <c r="AN121" i="3" s="1"/>
  <c r="AQ121" i="3"/>
  <c r="BW158" i="3"/>
  <c r="AN153" i="3" s="1"/>
  <c r="AQ153" i="3"/>
  <c r="BW82" i="3"/>
  <c r="AN77" i="3" s="1"/>
  <c r="AQ77" i="3"/>
  <c r="BW249" i="3"/>
  <c r="AN244" i="3" s="1"/>
  <c r="AQ244" i="3"/>
  <c r="BW102" i="3"/>
  <c r="AN97" i="3" s="1"/>
  <c r="AQ97" i="3"/>
  <c r="BW224" i="3"/>
  <c r="AN219" i="3" s="1"/>
  <c r="AQ219" i="3"/>
  <c r="BW52" i="3"/>
  <c r="AN47" i="3" s="1"/>
  <c r="AQ47" i="3"/>
  <c r="BW17" i="3"/>
  <c r="AN12" i="3" s="1"/>
  <c r="AQ12" i="3"/>
  <c r="BW234" i="3"/>
  <c r="AN229" i="3" s="1"/>
  <c r="AQ229" i="3"/>
  <c r="BW262" i="3"/>
  <c r="AN257" i="3" s="1"/>
  <c r="AQ257" i="3"/>
  <c r="BW100" i="3"/>
  <c r="AN95" i="3" s="1"/>
  <c r="AQ95" i="3"/>
  <c r="BW62" i="3"/>
  <c r="AN57" i="3" s="1"/>
  <c r="AQ57" i="3"/>
  <c r="BW150" i="3"/>
  <c r="AN145" i="3" s="1"/>
  <c r="AQ145" i="3"/>
  <c r="BW24" i="3"/>
  <c r="AN19" i="3" s="1"/>
  <c r="AQ19" i="3"/>
  <c r="BW105" i="3"/>
  <c r="AN100" i="3" s="1"/>
  <c r="AQ100" i="3"/>
  <c r="BW173" i="3"/>
  <c r="AN168" i="3" s="1"/>
  <c r="AQ168" i="3"/>
  <c r="BW67" i="3"/>
  <c r="AN62" i="3" s="1"/>
  <c r="AQ62" i="3"/>
  <c r="BW129" i="3"/>
  <c r="AN124" i="3" s="1"/>
  <c r="AQ124" i="3"/>
  <c r="BW271" i="3"/>
  <c r="AN266" i="3" s="1"/>
  <c r="AQ266" i="3"/>
  <c r="BW29" i="3"/>
  <c r="AN24" i="3" s="1"/>
  <c r="AQ24" i="3"/>
  <c r="BW41" i="3"/>
  <c r="AN36" i="3" s="1"/>
  <c r="AQ36" i="3"/>
  <c r="BW163" i="3"/>
  <c r="AN158" i="3" s="1"/>
  <c r="AQ158" i="3"/>
  <c r="BW171" i="3"/>
  <c r="AN166" i="3" s="1"/>
  <c r="AQ166" i="3"/>
  <c r="BW113" i="3"/>
  <c r="AN108" i="3" s="1"/>
  <c r="AQ108" i="3"/>
  <c r="BW277" i="3"/>
  <c r="AN272" i="3" s="1"/>
  <c r="AQ272" i="3"/>
  <c r="BW63" i="3"/>
  <c r="AN58" i="3" s="1"/>
  <c r="AQ58" i="3"/>
  <c r="BW40" i="3"/>
  <c r="AN35" i="3" s="1"/>
  <c r="AQ35" i="3"/>
  <c r="BW140" i="3"/>
  <c r="AN135" i="3" s="1"/>
  <c r="AQ135" i="3"/>
  <c r="BW294" i="3"/>
  <c r="AN289" i="3" s="1"/>
  <c r="AQ289" i="3"/>
  <c r="BW94" i="3"/>
  <c r="AN89" i="3" s="1"/>
  <c r="AQ89" i="3"/>
  <c r="BW71" i="3"/>
  <c r="AN66" i="3" s="1"/>
  <c r="AQ66" i="3"/>
  <c r="BW34" i="3"/>
  <c r="AN29" i="3" s="1"/>
  <c r="AQ29" i="3"/>
  <c r="BW184" i="3"/>
  <c r="AN179" i="3" s="1"/>
  <c r="AQ179" i="3"/>
  <c r="BW124" i="3"/>
  <c r="AN119" i="3" s="1"/>
  <c r="AQ119" i="3"/>
  <c r="BW214" i="3"/>
  <c r="AN209" i="3" s="1"/>
  <c r="AQ209" i="3"/>
  <c r="BW106" i="3"/>
  <c r="AN101" i="3" s="1"/>
  <c r="AQ101" i="3"/>
  <c r="BW141" i="3"/>
  <c r="AN136" i="3" s="1"/>
  <c r="AQ136" i="3"/>
  <c r="BW19" i="3"/>
  <c r="AN14" i="3" s="1"/>
  <c r="AQ14" i="3"/>
  <c r="BW291" i="3"/>
  <c r="AN286" i="3" s="1"/>
  <c r="AQ286" i="3"/>
  <c r="BW27" i="3"/>
  <c r="AN22" i="3" s="1"/>
  <c r="AQ22" i="3"/>
  <c r="BW193" i="3"/>
  <c r="AN188" i="3" s="1"/>
  <c r="AQ188" i="3"/>
  <c r="BW180" i="3"/>
  <c r="AN175" i="3" s="1"/>
  <c r="AQ175" i="3"/>
  <c r="BW187" i="3"/>
  <c r="AN182" i="3" s="1"/>
  <c r="AQ182" i="3"/>
  <c r="BW296" i="3"/>
  <c r="AN291" i="3" s="1"/>
  <c r="AQ291" i="3"/>
  <c r="BW297" i="3"/>
  <c r="AN292" i="3" s="1"/>
  <c r="AQ292" i="3"/>
  <c r="BW32" i="3"/>
  <c r="AN27" i="3" s="1"/>
  <c r="AQ27" i="3"/>
  <c r="BW60" i="3"/>
  <c r="AN55" i="3" s="1"/>
  <c r="AQ55" i="3"/>
  <c r="BW92" i="3"/>
  <c r="AN87" i="3" s="1"/>
  <c r="AQ87" i="3"/>
  <c r="BW78" i="3"/>
  <c r="AN73" i="3" s="1"/>
  <c r="AQ73" i="3"/>
  <c r="BW245" i="3"/>
  <c r="AN240" i="3" s="1"/>
  <c r="AQ240" i="3"/>
  <c r="BW237" i="3"/>
  <c r="AN232" i="3" s="1"/>
  <c r="AQ232" i="3"/>
  <c r="BW25" i="3"/>
  <c r="AN20" i="3" s="1"/>
  <c r="AQ20" i="3"/>
  <c r="BW250" i="3"/>
  <c r="AN245" i="3" s="1"/>
  <c r="AQ245" i="3"/>
  <c r="BW199" i="3"/>
  <c r="AN194" i="3" s="1"/>
  <c r="AQ194" i="3"/>
  <c r="BW270" i="3"/>
  <c r="AN265" i="3" s="1"/>
  <c r="AQ265" i="3"/>
  <c r="BW238" i="3"/>
  <c r="AN233" i="3" s="1"/>
  <c r="AQ233" i="3"/>
  <c r="BW174" i="3"/>
  <c r="AN169" i="3" s="1"/>
  <c r="AQ169" i="3"/>
  <c r="BW231" i="3"/>
  <c r="AN226" i="3" s="1"/>
  <c r="AQ226" i="3"/>
  <c r="BW164" i="3"/>
  <c r="AN159" i="3" s="1"/>
  <c r="AQ159" i="3"/>
  <c r="BW272" i="3"/>
  <c r="AN267" i="3" s="1"/>
  <c r="AQ267" i="3"/>
  <c r="BW223" i="3"/>
  <c r="AN218" i="3" s="1"/>
  <c r="AQ218" i="3"/>
  <c r="BW38" i="3"/>
  <c r="AN33" i="3" s="1"/>
  <c r="AQ33" i="3"/>
  <c r="BW172" i="3"/>
  <c r="AN167" i="3" s="1"/>
  <c r="AQ167" i="3"/>
  <c r="BW56" i="3"/>
  <c r="AN51" i="3" s="1"/>
  <c r="AQ51" i="3"/>
  <c r="BW261" i="3"/>
  <c r="AN256" i="3" s="1"/>
  <c r="AQ256" i="3"/>
  <c r="BW235" i="3"/>
  <c r="AN230" i="3" s="1"/>
  <c r="AQ230" i="3"/>
  <c r="BW160" i="3"/>
  <c r="AN155" i="3" s="1"/>
  <c r="AQ155" i="3"/>
  <c r="BW72" i="3"/>
  <c r="AN67" i="3" s="1"/>
  <c r="AQ67" i="3"/>
  <c r="BW175" i="3"/>
  <c r="AN170" i="3" s="1"/>
  <c r="AQ170" i="3"/>
  <c r="BW226" i="3"/>
  <c r="AN221" i="3" s="1"/>
  <c r="AQ221" i="3"/>
  <c r="BW208" i="3"/>
  <c r="AN203" i="3" s="1"/>
  <c r="AQ203" i="3"/>
  <c r="BW79" i="3"/>
  <c r="AN74" i="3" s="1"/>
  <c r="AQ74" i="3"/>
  <c r="BW206" i="3"/>
  <c r="AN201" i="3" s="1"/>
  <c r="AQ201" i="3"/>
  <c r="BW114" i="3"/>
  <c r="AN109" i="3" s="1"/>
  <c r="AQ109" i="3"/>
  <c r="BW54" i="3"/>
  <c r="AN49" i="3" s="1"/>
  <c r="AQ49" i="3"/>
  <c r="BW181" i="3"/>
  <c r="AN176" i="3" s="1"/>
  <c r="AQ176" i="3"/>
  <c r="BW16" i="3"/>
  <c r="AN11" i="3" s="1"/>
  <c r="AQ11" i="3"/>
  <c r="BW192" i="3"/>
  <c r="AN187" i="3" s="1"/>
  <c r="AQ187" i="3"/>
  <c r="BW151" i="3"/>
  <c r="AN146" i="3" s="1"/>
  <c r="AQ146" i="3"/>
  <c r="BW93" i="3"/>
  <c r="AN88" i="3" s="1"/>
  <c r="AQ88" i="3"/>
  <c r="BW104" i="3"/>
  <c r="AN99" i="3" s="1"/>
  <c r="AQ99" i="3"/>
  <c r="BW207" i="3"/>
  <c r="AN202" i="3" s="1"/>
  <c r="AQ202" i="3"/>
  <c r="BW185" i="3"/>
  <c r="AN180" i="3" s="1"/>
  <c r="AQ180" i="3"/>
  <c r="BW170" i="3"/>
  <c r="AN165" i="3" s="1"/>
  <c r="AQ165" i="3"/>
  <c r="BW212" i="3"/>
  <c r="AN207" i="3" s="1"/>
  <c r="AQ207" i="3"/>
  <c r="BW265" i="3"/>
  <c r="AN260" i="3" s="1"/>
  <c r="AQ260" i="3"/>
  <c r="BW115" i="3"/>
  <c r="AN110" i="3" s="1"/>
  <c r="AQ110" i="3"/>
  <c r="BW146" i="3"/>
  <c r="AN141" i="3" s="1"/>
  <c r="AQ141" i="3"/>
  <c r="BW176" i="3"/>
  <c r="AN171" i="3" s="1"/>
  <c r="AQ171" i="3"/>
  <c r="BW157" i="3"/>
  <c r="AN152" i="3" s="1"/>
  <c r="AQ152" i="3"/>
  <c r="BW138" i="3"/>
  <c r="AN133" i="3" s="1"/>
  <c r="AQ133" i="3"/>
  <c r="BW70" i="3"/>
  <c r="AN65" i="3" s="1"/>
  <c r="AQ65" i="3"/>
  <c r="BW247" i="3"/>
  <c r="AN242" i="3" s="1"/>
  <c r="AQ242" i="3"/>
  <c r="BW242" i="3"/>
  <c r="AN237" i="3" s="1"/>
  <c r="AQ237" i="3"/>
  <c r="BW48" i="3"/>
  <c r="AN43" i="3" s="1"/>
  <c r="AQ43" i="3"/>
  <c r="BW194" i="3"/>
  <c r="AN189" i="3" s="1"/>
  <c r="AQ189" i="3"/>
  <c r="BW30" i="3"/>
  <c r="AN25" i="3" s="1"/>
  <c r="AQ25" i="3"/>
  <c r="BW256" i="3"/>
  <c r="AN251" i="3" s="1"/>
  <c r="AQ251" i="3"/>
  <c r="BW260" i="3"/>
  <c r="AN255" i="3" s="1"/>
  <c r="AQ255" i="3"/>
  <c r="BW51" i="3"/>
  <c r="AN46" i="3" s="1"/>
  <c r="AQ46" i="3"/>
  <c r="BW13" i="3"/>
  <c r="AN8" i="3" s="1"/>
  <c r="AQ8" i="3"/>
  <c r="BW295" i="3"/>
  <c r="AN290" i="3" s="1"/>
  <c r="AQ290" i="3"/>
  <c r="BW80" i="3"/>
  <c r="AN75" i="3" s="1"/>
  <c r="AQ75" i="3"/>
  <c r="BW112" i="3"/>
  <c r="AN107" i="3" s="1"/>
  <c r="AQ107" i="3"/>
  <c r="BW36" i="3"/>
  <c r="AN31" i="3" s="1"/>
  <c r="AQ31" i="3"/>
  <c r="BW264" i="3"/>
  <c r="AN259" i="3" s="1"/>
  <c r="AQ259" i="3"/>
  <c r="BW259" i="3"/>
  <c r="AN254" i="3" s="1"/>
  <c r="AQ254" i="3"/>
  <c r="BW282" i="3"/>
  <c r="AN277" i="3" s="1"/>
  <c r="AQ277" i="3"/>
  <c r="BW44" i="3"/>
  <c r="AN39" i="3" s="1"/>
  <c r="AQ39" i="3"/>
  <c r="BW135" i="3"/>
  <c r="AN130" i="3" s="1"/>
  <c r="AQ130" i="3"/>
  <c r="BW210" i="3"/>
  <c r="AN205" i="3" s="1"/>
  <c r="AQ205" i="3"/>
  <c r="BW118" i="3"/>
  <c r="AN113" i="3" s="1"/>
  <c r="AQ113" i="3"/>
  <c r="BW74" i="3"/>
  <c r="AN69" i="3" s="1"/>
  <c r="AQ69" i="3"/>
  <c r="BW204" i="3"/>
  <c r="AN199" i="3" s="1"/>
  <c r="AQ199" i="3"/>
  <c r="AF37" i="3"/>
  <c r="C37" i="3"/>
  <c r="B45" i="3"/>
  <c r="L34" i="3" l="1"/>
  <c r="BP7" i="3"/>
  <c r="AC33" i="3" s="1"/>
  <c r="BP5" i="3"/>
  <c r="BS9" i="3"/>
  <c r="BS6" i="3"/>
  <c r="S33" i="3" s="1"/>
  <c r="G33" i="3" l="1"/>
  <c r="V34" i="3" s="1"/>
  <c r="B46" i="3" s="1"/>
</calcChain>
</file>

<file path=xl/sharedStrings.xml><?xml version="1.0" encoding="utf-8"?>
<sst xmlns="http://schemas.openxmlformats.org/spreadsheetml/2006/main" count="497" uniqueCount="335">
  <si>
    <t>=</t>
  </si>
  <si>
    <t>m.sharifidoust@yahoo.com</t>
  </si>
  <si>
    <t>سیستم مقاوم در برابر نیروهای جانبی</t>
  </si>
  <si>
    <t>Ru</t>
  </si>
  <si>
    <t>Cd</t>
  </si>
  <si>
    <t>Hm</t>
  </si>
  <si>
    <t>نوع زمین</t>
  </si>
  <si>
    <t>پهنه با خطر نسبی خیلی زیاد</t>
  </si>
  <si>
    <t>گروه1- ساختمان های با اهمیت خیلی زیاد</t>
  </si>
  <si>
    <t>سیستم دیوارهای باربر- دیوارهای برشی بتن مسلح ویژه</t>
  </si>
  <si>
    <t>زمین نوع I</t>
  </si>
  <si>
    <t>قاب خمشی فولادی بدون تاثیر جداگرهای میانقابی</t>
  </si>
  <si>
    <t xml:space="preserve"> استفاده از روابط تجربی</t>
  </si>
  <si>
    <t>B1</t>
  </si>
  <si>
    <t>پهنه با خطر نسبی زیاد</t>
  </si>
  <si>
    <t>گروه2- ساختمان های با اهمیت زیاد</t>
  </si>
  <si>
    <t>سیستم دیوارهای باربر- دیوارهای برشی بتن مسلح متوسط</t>
  </si>
  <si>
    <t>زمین نوع II</t>
  </si>
  <si>
    <t>قاب خمشی بتن مسلح بدون تاثیر جداگرهای میانقابی</t>
  </si>
  <si>
    <t>افزایش 25% نتایج حاصل از روابط تجربی</t>
  </si>
  <si>
    <t>پهنه با خطر نسبی متوسط</t>
  </si>
  <si>
    <t>گروه3- ساختمان های با اهمیت متوسط</t>
  </si>
  <si>
    <t>سیستم دیوارهای باربر- دیوارهای برشی بتن مسلح معمولی</t>
  </si>
  <si>
    <t>**</t>
  </si>
  <si>
    <t>زمین نوع III</t>
  </si>
  <si>
    <t>قاب خمشی فولادی با تاثیر جداگرهای میانقابی</t>
  </si>
  <si>
    <t>استفاده از نتایج تحلیل دینامیکی</t>
  </si>
  <si>
    <t>پهنه با خطر نسبی کم</t>
  </si>
  <si>
    <t>گروه4- ساختمان های با اهمیت کم</t>
  </si>
  <si>
    <t>سیستم دیوارهای باربر- دیوارهای برشی با مصالح بنایی مسلح</t>
  </si>
  <si>
    <t>زمین نوع IV</t>
  </si>
  <si>
    <t>قاب خمشی بتن مسلح با تاثیر جداگرهای میانقابی</t>
  </si>
  <si>
    <t>سیستم دیوارهای باربر- دیوارهای متشکل از قاب های سبک فولادی سرد نورد و مهارهای تسمه ای فولادی</t>
  </si>
  <si>
    <t>سیستم مهاربندی واگرا</t>
  </si>
  <si>
    <t>سیستم دیوارهای باربر- دیوارهای متشکل از قاب های سبک فولادی سرد نورد و صفحات پوشش فولادی</t>
  </si>
  <si>
    <t>سایر سیستم ها بغیر از کنسولی</t>
  </si>
  <si>
    <t>سیستم دیوارهای باربر- دیوارهای بتن پاششی سه بعدی</t>
  </si>
  <si>
    <t>سیستم قاب ساختمانی - دیوار برشی بتن آرمه ویژه</t>
  </si>
  <si>
    <t>سیستم قاب ساختمانی - دیوار برشی بتن آرمه متوسط</t>
  </si>
  <si>
    <t>سیستم قاب ساختمانی - دیوار برشی بتن آرمه معمولی</t>
  </si>
  <si>
    <t>سیستم قاب ساختمانی - دیوار برشی با مصالح بنایی مسلح</t>
  </si>
  <si>
    <t>سیستم قاب ساختمانی - مهاربندی واگرای ویژه فولادی</t>
  </si>
  <si>
    <t>A=</t>
  </si>
  <si>
    <t>سیستم قاب ساختمانی - مهاربندی کمانش تاب</t>
  </si>
  <si>
    <t>نوع زمین محل احداث پروژه</t>
  </si>
  <si>
    <t>سیستم قاب ساختمانی - مهاربندی همگرای معمولی فولادی</t>
  </si>
  <si>
    <t>So=</t>
  </si>
  <si>
    <t>S=</t>
  </si>
  <si>
    <t>Ts=</t>
  </si>
  <si>
    <t>To=</t>
  </si>
  <si>
    <t>سیستم قاب ساختمانی - مهاربندی همگرای ویژه فولادی</t>
  </si>
  <si>
    <t>ضریب اهمیت سازه را براساس نوع کاربری سازه مشخص کنید.</t>
  </si>
  <si>
    <t>سیستم قاب خمشی بتن آرمه ویژه</t>
  </si>
  <si>
    <t>I=</t>
  </si>
  <si>
    <t>سیستم قاب خمشی بتن آرمه متوسط</t>
  </si>
  <si>
    <t>نوع سیستم سازه ای متعارف مورد استفاده کدام است؟</t>
  </si>
  <si>
    <t>سیستم قاب خمشی بتن آرمه معمولی</t>
  </si>
  <si>
    <t>ارتفاع ساختمان(برحسب متر)(H)</t>
  </si>
  <si>
    <t>سیستم قاب خمشی فولادی ویژه</t>
  </si>
  <si>
    <t xml:space="preserve">روش محاسبه زمان تناوب اصلی نوسان </t>
  </si>
  <si>
    <t>سیستم قاب خمشی فولادی متوسط</t>
  </si>
  <si>
    <t>سیستم قاب خمشی فولادی معمولی</t>
  </si>
  <si>
    <t>قاب خمشی ویژه(فولادی یا بتنی)+ دیوارهای برشی بتن آرمه ویژه</t>
  </si>
  <si>
    <t>قاب خمشی بتن آرمه متوسط+ دیوارهای برشی بتن آرمه ویژه</t>
  </si>
  <si>
    <t>نوع سیستم سازه ای مقاوم در برابر نیروهای جانبی مورد استفاده کدام است؟</t>
  </si>
  <si>
    <t>قاب خمشی بتن آرمه متوسط+ دیوارهای برشی بتن آرمه متوسط</t>
  </si>
  <si>
    <t>Cd=</t>
  </si>
  <si>
    <t>قاب خمشی فولادی متوسط+ دیوارهای برشی بتن آرمه متوسط</t>
  </si>
  <si>
    <t>قاب خمشی فولادی ویژه + مهاربندی واگرای ویژه فولادی</t>
  </si>
  <si>
    <t>قاب خمشی فولادی متوسط + مهاربندی واگرای ویژه فولادی</t>
  </si>
  <si>
    <t>قاب خمشی فولادی ویژه + مهاربندی همگرای ویژه فولادی</t>
  </si>
  <si>
    <t>قاب خمشی فولادی متوسط + مهاربندی همگرای ویژه فولادی</t>
  </si>
  <si>
    <t>سیستم کنسولی- سازه های فولادی یا بتن آرمه ویژه</t>
  </si>
  <si>
    <t>نمودار طیف طرح</t>
  </si>
  <si>
    <t>T</t>
  </si>
  <si>
    <t>B</t>
  </si>
  <si>
    <t>Ωo</t>
  </si>
  <si>
    <t>سازه های مرکب از چند سیستم باربرجانبی در ارتفاع</t>
  </si>
  <si>
    <t>Ωo =</t>
  </si>
  <si>
    <t>Ru =</t>
  </si>
  <si>
    <t>Tتجربی  =</t>
  </si>
  <si>
    <t>Hm=</t>
  </si>
  <si>
    <t>)</t>
  </si>
  <si>
    <t>:</t>
  </si>
  <si>
    <t>محاسبه ضریب زلزله براساس آیین‌نامه استاندارد 2800 - ویرایش چهارم</t>
  </si>
  <si>
    <t>0912-748-4248</t>
  </si>
  <si>
    <t>راهنما: جهت محاسبه ضریب زلزله، مقادیر خواسته شده در ردیف‌های زیر که با سلول‌های رنگ</t>
  </si>
  <si>
    <t>مشخص شده‌اند، را وارد کنید.</t>
  </si>
  <si>
    <t>با توجه به پیوست 1 آیین نامه 2800 میزان خطر نسبی زلزله شهر محل احداث پروژه را انتخاب کنید.</t>
  </si>
  <si>
    <t>&amp;</t>
  </si>
  <si>
    <r>
      <t xml:space="preserve">جهت دریافت آخرین نسخه و راهنمای محاسبات به سایت کیمیاسازه مراجعه کنید. ( </t>
    </r>
    <r>
      <rPr>
        <sz val="11"/>
        <color rgb="FFC00000"/>
        <rFont val="Times New Roman"/>
        <family val="1"/>
      </rPr>
      <t>kimiyasaze.com</t>
    </r>
    <r>
      <rPr>
        <sz val="11"/>
        <rFont val="B Nazanin"/>
        <charset val="178"/>
      </rPr>
      <t xml:space="preserve"> )</t>
    </r>
  </si>
  <si>
    <t>N =</t>
  </si>
  <si>
    <t>انتقال به صفحه محاسبه براساس ویرایش پنچم استاندارد ۲۸۰۰</t>
  </si>
  <si>
    <t>ضریب زلزله طراحی سازه</t>
  </si>
  <si>
    <t>ضرایب زلزله جهت کنترل تغییرمکان سازه</t>
  </si>
  <si>
    <t>زمان تناوب اصلی نوسان  تحلیلی  را وارد کنید.</t>
  </si>
  <si>
    <r>
      <t>B = B</t>
    </r>
    <r>
      <rPr>
        <vertAlign val="subscript"/>
        <sz val="11"/>
        <color theme="1" tint="0.34998626667073579"/>
        <rFont val="Times New Roman"/>
        <family val="1"/>
      </rPr>
      <t>1</t>
    </r>
    <r>
      <rPr>
        <sz val="11"/>
        <color theme="1" tint="0.34998626667073579"/>
        <rFont val="Times New Roman"/>
        <family val="1"/>
      </rPr>
      <t xml:space="preserve"> N =</t>
    </r>
  </si>
  <si>
    <r>
      <t>B</t>
    </r>
    <r>
      <rPr>
        <vertAlign val="subscript"/>
        <sz val="11"/>
        <color theme="1" tint="0.34998626667073579"/>
        <rFont val="Times New Roman"/>
        <family val="1"/>
      </rPr>
      <t>1</t>
    </r>
    <r>
      <rPr>
        <sz val="11"/>
        <color theme="1" tint="0.34998626667073579"/>
        <rFont val="Times New Roman"/>
        <family val="1"/>
      </rPr>
      <t xml:space="preserve"> =</t>
    </r>
  </si>
  <si>
    <t xml:space="preserve"> برای محاسبه ضریب زلزلهB1 جهت X</t>
  </si>
  <si>
    <t xml:space="preserve"> برای محاسبه ضریب زلزلهB1 جهت Y</t>
  </si>
  <si>
    <t xml:space="preserve"> برای محاسبه ضریب زلزلهB1 طراحی</t>
  </si>
  <si>
    <t>N طراحی</t>
  </si>
  <si>
    <t>N تغیرمکان جهت X</t>
  </si>
  <si>
    <t>N تغیرمکان جهت Y</t>
  </si>
  <si>
    <t>اطلاعات پایه ایی رسم نمودار T-B جدید</t>
  </si>
  <si>
    <t>N</t>
  </si>
  <si>
    <t>AB</t>
  </si>
  <si>
    <t>A*B</t>
  </si>
  <si>
    <t>Ver: 2.0.0</t>
  </si>
  <si>
    <t>Ver: 1.2.0</t>
  </si>
  <si>
    <t>ردیف</t>
  </si>
  <si>
    <t>شرح</t>
  </si>
  <si>
    <t>‍</t>
  </si>
  <si>
    <t>زمین نوع یک ( I )</t>
  </si>
  <si>
    <t>زمین نوع دو ( II )</t>
  </si>
  <si>
    <t>زمین نوع سه ( III )</t>
  </si>
  <si>
    <t>زمین نوع چهار ( IV )</t>
  </si>
  <si>
    <t>زمین نوع پنچ ( V )</t>
  </si>
  <si>
    <t>زمین نوع شش ( VI )</t>
  </si>
  <si>
    <t>جدول  ۱-۲ ضریب تاثیر نوع ساختگاه در بازه زمان تناوب کوتاه (Fs)</t>
  </si>
  <si>
    <t>مقادیر شتاب طیفی بیشینه مورد نظر برای زمان تناوب‌های کوتاه</t>
  </si>
  <si>
    <t>Ss=0.5</t>
  </si>
  <si>
    <t>Ss=0.75</t>
  </si>
  <si>
    <t>Ss=1.0</t>
  </si>
  <si>
    <t>Ss=1.25</t>
  </si>
  <si>
    <t>Ss≥1.5</t>
  </si>
  <si>
    <t>طیف ویژه</t>
  </si>
  <si>
    <t>جدول  ۲-۲ ضریب تاثیر نوع ساختگاه در بازه زمان تناوب یک ثانیه (F1)</t>
  </si>
  <si>
    <t>مقادیر شتاب طیفی بیشینه مورد نظر برای زمان تناوب‌ یک ثانیه ( F1 )</t>
  </si>
  <si>
    <t>S1=0.2</t>
  </si>
  <si>
    <t>S1=0.3</t>
  </si>
  <si>
    <t>S1=0.4</t>
  </si>
  <si>
    <t>S1=0.5</t>
  </si>
  <si>
    <t>بله</t>
  </si>
  <si>
    <t>خیر</t>
  </si>
  <si>
    <t>جدول ۱-۳ مقادیر پارامترهای لرزه‌ای سیستم‌های مختلف مقاوم در برابر نیروی زلزله و حداکثر ارتفاع مجاز آن‌ها</t>
  </si>
  <si>
    <t>سیستم مقاوم در برابر نیرو جانبی زلزله</t>
  </si>
  <si>
    <t>SDC-1</t>
  </si>
  <si>
    <t>SDC-2</t>
  </si>
  <si>
    <t>SDC-3</t>
  </si>
  <si>
    <t>سیستم سازه</t>
  </si>
  <si>
    <t xml:space="preserve"> شتاب طیفی زلزله بیشینه مورد نظر در زمان تناوب  ۱ ثانیه:</t>
  </si>
  <si>
    <t xml:space="preserve"> شتاب طیفی زلزله بیشینه مورد نظر در زمان تناوب ۰.۲ ثانیه:</t>
  </si>
  <si>
    <t>نوع زمین محل احداث پروژه:</t>
  </si>
  <si>
    <t>گروه اهمیت سازه براساس نوع کاربری سازه:</t>
  </si>
  <si>
    <t>زمان تناوب اصلی نوسان حاصل از تحلیل سازه در دو جهت اصلی:</t>
  </si>
  <si>
    <t>روش محاسبه زمان تناوب اصلی نوسان :</t>
  </si>
  <si>
    <t>الف- سیستم دیوارهای باربر</t>
  </si>
  <si>
    <t>ب- سیستم قاب ساختمانی</t>
  </si>
  <si>
    <t>پ - سیستم قاب خمشی</t>
  </si>
  <si>
    <t>ت - سیستم دوگانه</t>
  </si>
  <si>
    <t>سیستم دوگانه | قاب خمشی ویژه(فولادی یا بتنی) + دیوار برشی بتن آرمه همبند شکل‌پذیر</t>
  </si>
  <si>
    <t>سیستم دوگانه | قاب خمشی ویژه(فولادی یا بتنی) + دیوار برشی بتن آرمه ویژه</t>
  </si>
  <si>
    <t>سیستم دوگانه | قاب خمشی فولادی ویژه + قاب مهاربندی شده همگرای فولادی ویژه</t>
  </si>
  <si>
    <t>سیستم دوگانه | قاب خمشی فولادی ویژه + قاب مهاربندی شده واگرای فولادی با تیر پیوند برشی</t>
  </si>
  <si>
    <t>سیستم دوگانه | قاب خمشی فولادی ویژه + قاب مهاربندی شده واگرای فولادی با تیر پیوند خمشی یا خمشی- برشی</t>
  </si>
  <si>
    <t>سیستم دوگانه | قاب خمشی فولادی ویژه + قاب مهاربندی شده کمانش تاب</t>
  </si>
  <si>
    <t>سیستم دوگانه | قاب خمشی فولادی ویژه + دیوار برشی فولادی ویژه</t>
  </si>
  <si>
    <t>سیستم دوگانه | قاب خمشی بتن آرمه متوسط+ دیوار برشی بتن‌آرمه ویژه</t>
  </si>
  <si>
    <t>سیستم دوگانه | قاب خمشی فولادی متوسط+ قاب مهاربندی شده همگرای فولادی ویژه</t>
  </si>
  <si>
    <t>سیستم دوگانه | قاب خمشی ویژه (فولادی یا بتنی) + قاب مهاربندی شده همگرای مختلط ویژه</t>
  </si>
  <si>
    <t>سیستم دوگانه | قاب خمشی ویژه (فولادی یا بتنی) + قاب مهاربندی شده واگرای مختلط</t>
  </si>
  <si>
    <t>سیستم دوگانه | قاب خمشی ویژه (فولادی یا بتنی) + دیوار برشی مختلط ویژه</t>
  </si>
  <si>
    <t>سیستم دوگانه | قاب خمشی متوسط (فولادی یا بتنی) + قاب مهاربندی شده همگرای مختلط ویژه</t>
  </si>
  <si>
    <t>سیستم دیوارهای باربر | دیوار برشی بتن‌آرمه همبند شکل‌پذیر</t>
  </si>
  <si>
    <t>سیستم دیوارهای باربر | دیوار برشی بتن‌آرمه ویژه</t>
  </si>
  <si>
    <t>سیستم دیوارهای باربر | دیوار برشی بتن‌آرمه معمولی</t>
  </si>
  <si>
    <t>سیستم دیوارهای باربر | دیوار برشی بنایی مسلح</t>
  </si>
  <si>
    <t>سیستم دیوارهای باربر | دیوار متشکل از قاب سبک فولادی سردنورد و مهارهای تسمه‌ای فولادی</t>
  </si>
  <si>
    <t>سیستم دیوارهای باربر | دیوار متشکل از قاب سبک فولادی سرد نورد و صفحات پوشش فولادی</t>
  </si>
  <si>
    <t>سیستم دیوارهای باربر |  دیوار بتن پاششی سه بعدی</t>
  </si>
  <si>
    <t>سیستم قاب ساختمانی | دیوار برشی بتن آرمه همبند شکل‌پذیر</t>
  </si>
  <si>
    <t>سیستم قاب ساختمانی | دیوار برشی بتن آرمه ویژه</t>
  </si>
  <si>
    <t>سیستم قاب ساختمانی | دیوار برشی بتن آرمه معمولی</t>
  </si>
  <si>
    <t>سیستم قاب ساختمانی | دیوار برشی بنایی مسلح</t>
  </si>
  <si>
    <t>سیستم قاب ساختمانی | قاب مهاربندی شده همگرای فولادی ویژه</t>
  </si>
  <si>
    <t>سیستم قاب ساختمانی | قاب مهاربندی شده همگرای فولادی معمولی</t>
  </si>
  <si>
    <t>سیستم قاب ساختمانی | قاب مهاربندی شده واگرای فولادی با تیر پیوند برشی</t>
  </si>
  <si>
    <t>سیستم قاب ساختمانی | قاب مهاربندی شده واگرای فولادی با تیر پیوند خمشی یا خمشی-برشی</t>
  </si>
  <si>
    <t>سیستم قاب ساختمانی | قاب مهاربندی شده کمانش تاب</t>
  </si>
  <si>
    <t>سیستم قاب ساختمانی | دیوار برشی فولادی ویژه</t>
  </si>
  <si>
    <t>سیستم قاب ساختمانی | قاب مهاربندی شده همگرای مختلط ویژه</t>
  </si>
  <si>
    <t>سیستم قاب ساختمانی | قاب مهاربندی شده واگرای مختلط</t>
  </si>
  <si>
    <t>سیستم قاب ساختمانی | دیوار برشی مختلط ویژه</t>
  </si>
  <si>
    <t>سیستم قاب خمشی | قاب خمشی بتن آرمه ویژه</t>
  </si>
  <si>
    <t>سیستم قاب خمشی | قاب خمشی بتن آرمه متوسط</t>
  </si>
  <si>
    <t>سیستم قاب خمشی | قاب خمشی بتن آرمه معمولی</t>
  </si>
  <si>
    <t>سیستم قاب خمشی | قاب خمشی فولادی ویژه</t>
  </si>
  <si>
    <t>سیستم قاب خمشی | قاب خمشی فولادی متوسط</t>
  </si>
  <si>
    <t>سیستم قاب خمشی | قاب خمشی فولادی معمولی</t>
  </si>
  <si>
    <t>سیستم قاب خمشی | قاب خمشی خرپایی فولادی ویژه</t>
  </si>
  <si>
    <t>سیستم قاب خمشی | قاب خمشی مختلط ویژه</t>
  </si>
  <si>
    <t>سیستم ستون کنسولی | سازه  فولادی یا بتن‌آرمه ویژه</t>
  </si>
  <si>
    <t>غیرمجاز</t>
  </si>
  <si>
    <t>نوع سیستم سازه ای و سیستم مقاوم در برابر نیروی جانبی زلزله:</t>
  </si>
  <si>
    <t>→</t>
  </si>
  <si>
    <r>
      <t xml:space="preserve">مقادیر شتاب طیفی زلزله بیشینه مورد نظر </t>
    </r>
    <r>
      <rPr>
        <sz val="12"/>
        <color theme="1"/>
        <rFont val="Times New Roman"/>
        <family val="1"/>
      </rPr>
      <t xml:space="preserve"> S</t>
    </r>
    <r>
      <rPr>
        <vertAlign val="subscript"/>
        <sz val="12"/>
        <color theme="1"/>
        <rFont val="Times New Roman"/>
        <family val="1"/>
      </rPr>
      <t>s</t>
    </r>
    <r>
      <rPr>
        <sz val="12"/>
        <color theme="1"/>
        <rFont val="B Nazanin"/>
        <charset val="178"/>
      </rPr>
      <t xml:space="preserve">و </t>
    </r>
    <r>
      <rPr>
        <sz val="12"/>
        <color theme="1"/>
        <rFont val="Times New Roman"/>
        <family val="1"/>
      </rPr>
      <t>S</t>
    </r>
    <r>
      <rPr>
        <vertAlign val="subscript"/>
        <sz val="12"/>
        <color theme="1"/>
        <rFont val="Times New Roman"/>
        <family val="1"/>
      </rPr>
      <t>1</t>
    </r>
    <r>
      <rPr>
        <sz val="12"/>
        <color theme="1"/>
        <rFont val="B Nazanin"/>
        <charset val="178"/>
      </rPr>
      <t xml:space="preserve"> در منطقه ساخت برابر است با:</t>
    </r>
  </si>
  <si>
    <r>
      <t xml:space="preserve">براساس بند ۲-۴، مقادیر شتاب طیفی زلزله طرح، </t>
    </r>
    <r>
      <rPr>
        <sz val="12"/>
        <color theme="1"/>
        <rFont val="Times New Roman"/>
        <family val="1"/>
      </rPr>
      <t>S</t>
    </r>
    <r>
      <rPr>
        <vertAlign val="subscript"/>
        <sz val="12"/>
        <color theme="1"/>
        <rFont val="Times New Roman"/>
        <family val="1"/>
      </rPr>
      <t>DS</t>
    </r>
    <r>
      <rPr>
        <sz val="12"/>
        <color theme="1"/>
        <rFont val="B Nazanin"/>
        <charset val="178"/>
      </rPr>
      <t xml:space="preserve"> و </t>
    </r>
    <r>
      <rPr>
        <sz val="12"/>
        <color theme="1"/>
        <rFont val="Times New Roman"/>
        <family val="1"/>
      </rPr>
      <t>S</t>
    </r>
    <r>
      <rPr>
        <vertAlign val="subscript"/>
        <sz val="12"/>
        <color theme="1"/>
        <rFont val="Times New Roman"/>
        <family val="1"/>
      </rPr>
      <t>D1</t>
    </r>
    <r>
      <rPr>
        <sz val="12"/>
        <color theme="1"/>
        <rFont val="B Nazanin"/>
        <charset val="178"/>
      </rPr>
      <t xml:space="preserve"> برابر است با:</t>
    </r>
  </si>
  <si>
    <r>
      <t xml:space="preserve">براساس بند ۳-۲، مقادیر شتاب طیفی زلزله بیشینه مورد نظر در سطح زمین، </t>
    </r>
    <r>
      <rPr>
        <sz val="12"/>
        <color theme="1"/>
        <rFont val="Times New Roman"/>
        <family val="1"/>
      </rPr>
      <t>S</t>
    </r>
    <r>
      <rPr>
        <vertAlign val="subscript"/>
        <sz val="12"/>
        <color theme="1"/>
        <rFont val="Times New Roman"/>
        <family val="1"/>
      </rPr>
      <t>MS</t>
    </r>
    <r>
      <rPr>
        <sz val="12"/>
        <color theme="1"/>
        <rFont val="B Nazanin"/>
        <charset val="178"/>
      </rPr>
      <t xml:space="preserve">، </t>
    </r>
    <r>
      <rPr>
        <sz val="12"/>
        <color theme="1"/>
        <rFont val="Times New Roman"/>
        <family val="1"/>
      </rPr>
      <t>S</t>
    </r>
    <r>
      <rPr>
        <vertAlign val="subscript"/>
        <sz val="12"/>
        <color theme="1"/>
        <rFont val="Times New Roman"/>
        <family val="1"/>
      </rPr>
      <t>M1</t>
    </r>
    <r>
      <rPr>
        <sz val="12"/>
        <color theme="1"/>
        <rFont val="B Nazanin"/>
        <charset val="178"/>
      </rPr>
      <t xml:space="preserve"> برابر است با:</t>
    </r>
  </si>
  <si>
    <t>ü</t>
  </si>
  <si>
    <r>
      <t xml:space="preserve">براساس بند ۲-۵، مقادیر </t>
    </r>
    <r>
      <rPr>
        <sz val="12"/>
        <color theme="1"/>
        <rFont val="Times New Roman"/>
        <family val="1"/>
      </rPr>
      <t>T</t>
    </r>
    <r>
      <rPr>
        <vertAlign val="subscript"/>
        <sz val="12"/>
        <color theme="1"/>
        <rFont val="Times New Roman"/>
        <family val="1"/>
      </rPr>
      <t>0</t>
    </r>
    <r>
      <rPr>
        <sz val="12"/>
        <color theme="1"/>
        <rFont val="B Nazanin"/>
        <charset val="178"/>
      </rPr>
      <t>،</t>
    </r>
    <r>
      <rPr>
        <sz val="12"/>
        <color theme="1"/>
        <rFont val="Times New Roman"/>
        <family val="1"/>
      </rPr>
      <t xml:space="preserve"> T</t>
    </r>
    <r>
      <rPr>
        <vertAlign val="subscript"/>
        <sz val="12"/>
        <color theme="1"/>
        <rFont val="Times New Roman"/>
        <family val="1"/>
      </rPr>
      <t>S</t>
    </r>
    <r>
      <rPr>
        <sz val="12"/>
        <color theme="1"/>
        <rFont val="B Nazanin"/>
        <charset val="178"/>
      </rPr>
      <t xml:space="preserve"> و </t>
    </r>
    <r>
      <rPr>
        <sz val="12"/>
        <color theme="1"/>
        <rFont val="Times New Roman"/>
        <family val="1"/>
      </rPr>
      <t>T</t>
    </r>
    <r>
      <rPr>
        <vertAlign val="subscript"/>
        <sz val="12"/>
        <color theme="1"/>
        <rFont val="Times New Roman"/>
        <family val="1"/>
      </rPr>
      <t>L</t>
    </r>
    <r>
      <rPr>
        <sz val="12"/>
        <color theme="1"/>
        <rFont val="B Nazanin"/>
        <charset val="178"/>
      </rPr>
      <t xml:space="preserve"> برابر است با:</t>
    </r>
  </si>
  <si>
    <t/>
  </si>
  <si>
    <t>نوع سیستم سازه ای متعارف مورد استفاده جهت محاسبه دوره تناوب:</t>
  </si>
  <si>
    <t>قاب خمشی بتن‌آرمه | بدون تاثیر جداگرهای میانقابی</t>
  </si>
  <si>
    <t>مهاربندهای واگرا یا کمانش تاب | بدون تاثیر جداگرهای میانقابی</t>
  </si>
  <si>
    <t>سایر سیستم‌های مندرج در جدول (۱-۳) با یا بدون وجود میانقاب</t>
  </si>
  <si>
    <t>انواع سیستم جهت دوره تناوب</t>
  </si>
  <si>
    <t>دوره تناوب هر سیستم</t>
  </si>
  <si>
    <t>افزایش ۱.۴ برابر نتایج حاصل از روابط تجربی</t>
  </si>
  <si>
    <t>قاب خمشی فولادی و مختلط | بدون تاثیر جداگرهای میانقابی</t>
  </si>
  <si>
    <r>
      <t>T</t>
    </r>
    <r>
      <rPr>
        <sz val="12"/>
        <color theme="1"/>
        <rFont val="Calibri"/>
        <family val="2"/>
        <scheme val="minor"/>
      </rPr>
      <t xml:space="preserve"> </t>
    </r>
    <r>
      <rPr>
        <vertAlign val="subscript"/>
        <sz val="12"/>
        <color theme="1"/>
        <rFont val="B Nazanin"/>
        <charset val="178"/>
      </rPr>
      <t>تجربی</t>
    </r>
    <r>
      <rPr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Times New Roman"/>
        <family val="1"/>
      </rPr>
      <t>=</t>
    </r>
  </si>
  <si>
    <r>
      <t xml:space="preserve">براساس بند ۵-۲ طیف طرح استاندارد، </t>
    </r>
    <r>
      <rPr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Times New Roman"/>
        <family val="1"/>
      </rPr>
      <t>S</t>
    </r>
    <r>
      <rPr>
        <vertAlign val="subscript"/>
        <sz val="12"/>
        <color theme="1"/>
        <rFont val="Times New Roman"/>
        <family val="1"/>
      </rPr>
      <t>a</t>
    </r>
    <r>
      <rPr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B Nazanin"/>
        <charset val="178"/>
      </rPr>
      <t>به شرح زیر است</t>
    </r>
    <r>
      <rPr>
        <sz val="12"/>
        <color theme="1"/>
        <rFont val="Calibri"/>
        <family val="2"/>
        <scheme val="minor"/>
      </rPr>
      <t>.</t>
    </r>
  </si>
  <si>
    <t>مقادیر شتاب طیفی بیشینه در سنگ‌بستر ( PGA )</t>
  </si>
  <si>
    <t>PGA = 0.2</t>
  </si>
  <si>
    <t>PGA = 0.3</t>
  </si>
  <si>
    <t>PGA = 0.4</t>
  </si>
  <si>
    <t>PGA = 0.5</t>
  </si>
  <si>
    <t>جدول ۴-۲ مقادیر ضریب قائم Cv  بر حسب نوع زمین</t>
  </si>
  <si>
    <t>براساس بند ۲-۵-۲، ضریب اثرات ساختگاه (Cv)، برابر است با:</t>
  </si>
  <si>
    <t>è</t>
  </si>
  <si>
    <r>
      <t>R</t>
    </r>
    <r>
      <rPr>
        <vertAlign val="subscript"/>
        <sz val="12"/>
        <color theme="1"/>
        <rFont val="Times New Roman"/>
        <family val="1"/>
      </rPr>
      <t>u</t>
    </r>
    <r>
      <rPr>
        <sz val="12"/>
        <color theme="1"/>
        <rFont val="Times New Roman"/>
        <family val="1"/>
      </rPr>
      <t xml:space="preserve"> =</t>
    </r>
  </si>
  <si>
    <r>
      <t>Ω</t>
    </r>
    <r>
      <rPr>
        <vertAlign val="subscript"/>
        <sz val="12"/>
        <color theme="1"/>
        <rFont val="Times New Roman"/>
        <family val="1"/>
      </rPr>
      <t>0</t>
    </r>
    <r>
      <rPr>
        <sz val="12"/>
        <color theme="1"/>
        <rFont val="Times New Roman"/>
        <family val="1"/>
      </rPr>
      <t xml:space="preserve"> =</t>
    </r>
  </si>
  <si>
    <r>
      <t>C</t>
    </r>
    <r>
      <rPr>
        <vertAlign val="subscript"/>
        <sz val="12"/>
        <color theme="1"/>
        <rFont val="Times New Roman"/>
        <family val="1"/>
      </rPr>
      <t>d</t>
    </r>
    <r>
      <rPr>
        <sz val="12"/>
        <color theme="1"/>
        <rFont val="Times New Roman"/>
        <family val="1"/>
      </rPr>
      <t xml:space="preserve"> =</t>
    </r>
  </si>
  <si>
    <r>
      <t>H</t>
    </r>
    <r>
      <rPr>
        <vertAlign val="subscript"/>
        <sz val="12"/>
        <color theme="1"/>
        <rFont val="Times New Roman"/>
        <family val="1"/>
      </rPr>
      <t>m</t>
    </r>
    <r>
      <rPr>
        <sz val="12"/>
        <color theme="1"/>
        <rFont val="Times New Roman"/>
        <family val="1"/>
      </rPr>
      <t xml:space="preserve"> =</t>
    </r>
  </si>
  <si>
    <t>خیر، ضریب ρ  برابر یک در نظر گرفته شود.</t>
  </si>
  <si>
    <t>بله، ضریب ρ طبق گروه طراحی لرزه‌ایی در نظر گرفته شود.</t>
  </si>
  <si>
    <r>
      <t xml:space="preserve">آیا نیاز به اعمال ضریب </t>
    </r>
    <r>
      <rPr>
        <sz val="11"/>
        <rFont val="Sylfaen"/>
        <family val="1"/>
      </rPr>
      <t>ρ</t>
    </r>
    <r>
      <rPr>
        <sz val="9.9"/>
        <rFont val="B Nazanin"/>
        <charset val="178"/>
      </rPr>
      <t xml:space="preserve"> بند ۵-۳ در ضریب زلزله هست؟</t>
    </r>
  </si>
  <si>
    <r>
      <rPr>
        <sz val="12"/>
        <color theme="1"/>
        <rFont val="Sylfaen"/>
        <family val="1"/>
      </rPr>
      <t>ρ</t>
    </r>
    <r>
      <rPr>
        <sz val="10.8"/>
        <color theme="1"/>
        <rFont val="Times New Roman"/>
        <family val="1"/>
      </rPr>
      <t xml:space="preserve"> =</t>
    </r>
  </si>
  <si>
    <t>ضریب زلزله طراحی سازه برابر است با:</t>
  </si>
  <si>
    <r>
      <t>I</t>
    </r>
    <r>
      <rPr>
        <vertAlign val="subscript"/>
        <sz val="12"/>
        <color theme="1"/>
        <rFont val="Times New Roman"/>
        <family val="1"/>
      </rPr>
      <t>e</t>
    </r>
    <r>
      <rPr>
        <sz val="12"/>
        <color theme="1"/>
        <rFont val="Times New Roman"/>
        <family val="1"/>
      </rPr>
      <t xml:space="preserve"> =</t>
    </r>
  </si>
  <si>
    <t>ضرب ضریب نامعینی و ضریب زلزله از ضریب زلزله حداقل کمتر است.</t>
  </si>
  <si>
    <r>
      <t xml:space="preserve">ضریب زلزله کنترل تغییرمکان در جهت </t>
    </r>
    <r>
      <rPr>
        <b/>
        <sz val="14"/>
        <rFont val="Times New Roman"/>
        <family val="1"/>
      </rPr>
      <t>X</t>
    </r>
    <r>
      <rPr>
        <b/>
        <sz val="14"/>
        <rFont val="B Nazanin"/>
        <charset val="178"/>
      </rPr>
      <t xml:space="preserve"> برابر است با:</t>
    </r>
  </si>
  <si>
    <r>
      <t xml:space="preserve">ضریب زلزله کنترل تغییرمکان در جهت </t>
    </r>
    <r>
      <rPr>
        <b/>
        <sz val="14"/>
        <rFont val="Times New Roman"/>
        <family val="1"/>
      </rPr>
      <t>Y</t>
    </r>
    <r>
      <rPr>
        <b/>
        <sz val="14"/>
        <rFont val="B Nazanin"/>
        <charset val="178"/>
      </rPr>
      <t xml:space="preserve"> برابر است با:</t>
    </r>
  </si>
  <si>
    <t>ρ =</t>
  </si>
  <si>
    <t>ضرایب زلزله کنترل تغییرمکان سازه</t>
  </si>
  <si>
    <t>نیروی قائم ناشی از زلزله موضوع بند ۵-۹-۳</t>
  </si>
  <si>
    <t>نیروی قائم ناشی از زلزله</t>
  </si>
  <si>
    <t>براساس بند ۲-۵-۹-۳ و با توجه به شتاب طیفی زلزله</t>
  </si>
  <si>
    <t>عباس شکوری   |   مهدی شریفی دوست</t>
  </si>
  <si>
    <r>
      <t xml:space="preserve">مقدار </t>
    </r>
    <r>
      <rPr>
        <sz val="10"/>
        <rFont val="B Nazanin"/>
        <charset val="178"/>
      </rPr>
      <t>( از لیست انتخاب کنید یا مقدار را وارد فرمایید. )</t>
    </r>
  </si>
  <si>
    <t>H =</t>
  </si>
  <si>
    <t>متر</t>
  </si>
  <si>
    <t>نقشه شتاب طیفی زلزله بر حسب ثقل در زمان کوتاه ۰.۲ ثانیه ( Fs )</t>
  </si>
  <si>
    <r>
      <t xml:space="preserve">نقشه شتاب طیفی زلزله بر حسب ثقل در زمان کوتاه یک ثانیه ( </t>
    </r>
    <r>
      <rPr>
        <b/>
        <sz val="14"/>
        <color rgb="FF000000"/>
        <rFont val="Times New Roman"/>
        <family val="1"/>
      </rPr>
      <t>F</t>
    </r>
    <r>
      <rPr>
        <b/>
        <vertAlign val="subscript"/>
        <sz val="14"/>
        <color rgb="FF000000"/>
        <rFont val="Times New Roman"/>
        <family val="1"/>
      </rPr>
      <t>1</t>
    </r>
    <r>
      <rPr>
        <b/>
        <sz val="14"/>
        <color rgb="FF000000"/>
        <rFont val="Times New Roman"/>
        <family val="1"/>
      </rPr>
      <t xml:space="preserve"> </t>
    </r>
    <r>
      <rPr>
        <b/>
        <sz val="14"/>
        <color rgb="FF000000"/>
        <rFont val="B Nazanin"/>
        <charset val="178"/>
      </rPr>
      <t>)</t>
    </r>
  </si>
  <si>
    <t>طیف طرح قائم استاندارد موضوع بند ۲-۵-۲</t>
  </si>
  <si>
    <r>
      <t>I</t>
    </r>
    <r>
      <rPr>
        <vertAlign val="subscript"/>
        <sz val="11"/>
        <color theme="1" tint="0.14999847407452621"/>
        <rFont val="Times New Roman"/>
        <family val="1"/>
      </rPr>
      <t>e</t>
    </r>
    <r>
      <rPr>
        <sz val="11"/>
        <color theme="1" tint="0.14999847407452621"/>
        <rFont val="Times New Roman"/>
        <family val="1"/>
      </rPr>
      <t xml:space="preserve"> =</t>
    </r>
  </si>
  <si>
    <r>
      <t>T</t>
    </r>
    <r>
      <rPr>
        <sz val="11"/>
        <color theme="1" tint="0.14999847407452621"/>
        <rFont val="Calibri"/>
        <family val="2"/>
        <scheme val="minor"/>
      </rPr>
      <t xml:space="preserve"> </t>
    </r>
    <r>
      <rPr>
        <vertAlign val="subscript"/>
        <sz val="11"/>
        <color theme="1" tint="0.14999847407452621"/>
        <rFont val="B Nazanin"/>
        <charset val="178"/>
      </rPr>
      <t>طراحی</t>
    </r>
    <r>
      <rPr>
        <sz val="11"/>
        <color theme="1" tint="0.14999847407452621"/>
        <rFont val="Calibri"/>
        <family val="2"/>
        <scheme val="minor"/>
      </rPr>
      <t xml:space="preserve"> </t>
    </r>
    <r>
      <rPr>
        <sz val="11"/>
        <color theme="1" tint="0.14999847407452621"/>
        <rFont val="Times New Roman"/>
        <family val="1"/>
      </rPr>
      <t>=</t>
    </r>
  </si>
  <si>
    <t>سایر سیستم‌های سازه</t>
  </si>
  <si>
    <t>kimiyasaze.com</t>
  </si>
  <si>
    <t>Sa</t>
  </si>
  <si>
    <t>عباس شکوری  |  مهدی شریفی دوست</t>
  </si>
  <si>
    <t>Tv</t>
  </si>
  <si>
    <t>Sav</t>
  </si>
  <si>
    <t>Fmd</t>
  </si>
  <si>
    <t>محاسبه ضریب زلزله براساس آیین‌نامه استاندارد 2800 - پیش نویس ویرایش پنجم</t>
  </si>
  <si>
    <t>طیف طرح استاندارد</t>
  </si>
  <si>
    <t>طیف طرح قائم استاندارد</t>
  </si>
  <si>
    <r>
      <rPr>
        <sz val="11"/>
        <color theme="0"/>
        <rFont val="Sylfaen"/>
        <family val="1"/>
      </rPr>
      <t>ρ</t>
    </r>
    <r>
      <rPr>
        <sz val="9.9"/>
        <color theme="0"/>
        <rFont val="IRNazanin"/>
      </rPr>
      <t xml:space="preserve"> =</t>
    </r>
  </si>
  <si>
    <r>
      <t>R</t>
    </r>
    <r>
      <rPr>
        <vertAlign val="subscript"/>
        <sz val="12"/>
        <color theme="0"/>
        <rFont val="Times New Roman"/>
        <family val="1"/>
      </rPr>
      <t>u</t>
    </r>
    <r>
      <rPr>
        <sz val="12"/>
        <color theme="0"/>
        <rFont val="Times New Roman"/>
        <family val="1"/>
      </rPr>
      <t xml:space="preserve"> =</t>
    </r>
  </si>
  <si>
    <r>
      <t>Ω</t>
    </r>
    <r>
      <rPr>
        <vertAlign val="subscript"/>
        <sz val="12"/>
        <color theme="0"/>
        <rFont val="Times New Roman"/>
        <family val="1"/>
      </rPr>
      <t>0</t>
    </r>
    <r>
      <rPr>
        <sz val="12"/>
        <color theme="0"/>
        <rFont val="Times New Roman"/>
        <family val="1"/>
      </rPr>
      <t xml:space="preserve"> =</t>
    </r>
  </si>
  <si>
    <r>
      <t>C</t>
    </r>
    <r>
      <rPr>
        <vertAlign val="subscript"/>
        <sz val="12"/>
        <color theme="0"/>
        <rFont val="Times New Roman"/>
        <family val="1"/>
      </rPr>
      <t>d</t>
    </r>
    <r>
      <rPr>
        <sz val="12"/>
        <color theme="0"/>
        <rFont val="Times New Roman"/>
        <family val="1"/>
      </rPr>
      <t xml:space="preserve"> =</t>
    </r>
  </si>
  <si>
    <r>
      <t>H</t>
    </r>
    <r>
      <rPr>
        <vertAlign val="subscript"/>
        <sz val="12"/>
        <color theme="0"/>
        <rFont val="Times New Roman"/>
        <family val="1"/>
      </rPr>
      <t>m</t>
    </r>
    <r>
      <rPr>
        <sz val="12"/>
        <color theme="0"/>
        <rFont val="Times New Roman"/>
        <family val="1"/>
      </rPr>
      <t xml:space="preserve"> =</t>
    </r>
  </si>
  <si>
    <r>
      <t>S</t>
    </r>
    <r>
      <rPr>
        <vertAlign val="subscript"/>
        <sz val="12"/>
        <color theme="0"/>
        <rFont val="Times New Roman"/>
        <family val="1"/>
      </rPr>
      <t>MS</t>
    </r>
    <r>
      <rPr>
        <sz val="12"/>
        <color theme="0"/>
        <rFont val="Times New Roman"/>
        <family val="1"/>
      </rPr>
      <t xml:space="preserve"> =</t>
    </r>
  </si>
  <si>
    <r>
      <t>S</t>
    </r>
    <r>
      <rPr>
        <vertAlign val="subscript"/>
        <sz val="12"/>
        <color theme="0"/>
        <rFont val="Times New Roman"/>
        <family val="1"/>
      </rPr>
      <t>M1</t>
    </r>
    <r>
      <rPr>
        <sz val="12"/>
        <color theme="0"/>
        <rFont val="Times New Roman"/>
        <family val="1"/>
      </rPr>
      <t xml:space="preserve"> =</t>
    </r>
  </si>
  <si>
    <r>
      <t>S</t>
    </r>
    <r>
      <rPr>
        <vertAlign val="subscript"/>
        <sz val="12"/>
        <color theme="0"/>
        <rFont val="Times New Roman"/>
        <family val="1"/>
      </rPr>
      <t>DS</t>
    </r>
    <r>
      <rPr>
        <sz val="12"/>
        <color theme="0"/>
        <rFont val="Times New Roman"/>
        <family val="1"/>
      </rPr>
      <t xml:space="preserve"> =</t>
    </r>
  </si>
  <si>
    <r>
      <t>S</t>
    </r>
    <r>
      <rPr>
        <vertAlign val="subscript"/>
        <sz val="12"/>
        <color theme="0"/>
        <rFont val="Times New Roman"/>
        <family val="1"/>
      </rPr>
      <t>D1</t>
    </r>
    <r>
      <rPr>
        <sz val="12"/>
        <color theme="0"/>
        <rFont val="Times New Roman"/>
        <family val="1"/>
      </rPr>
      <t xml:space="preserve"> =</t>
    </r>
  </si>
  <si>
    <r>
      <t>T</t>
    </r>
    <r>
      <rPr>
        <vertAlign val="subscript"/>
        <sz val="12"/>
        <color theme="0"/>
        <rFont val="Times New Roman"/>
        <family val="1"/>
      </rPr>
      <t>0</t>
    </r>
    <r>
      <rPr>
        <sz val="12"/>
        <color theme="0"/>
        <rFont val="Times New Roman"/>
        <family val="1"/>
      </rPr>
      <t xml:space="preserve"> =</t>
    </r>
  </si>
  <si>
    <r>
      <t>T</t>
    </r>
    <r>
      <rPr>
        <vertAlign val="subscript"/>
        <sz val="12"/>
        <color theme="0"/>
        <rFont val="Times New Roman"/>
        <family val="1"/>
      </rPr>
      <t>S</t>
    </r>
    <r>
      <rPr>
        <sz val="12"/>
        <color theme="0"/>
        <rFont val="Times New Roman"/>
        <family val="1"/>
      </rPr>
      <t xml:space="preserve"> =</t>
    </r>
  </si>
  <si>
    <r>
      <t>T</t>
    </r>
    <r>
      <rPr>
        <vertAlign val="subscript"/>
        <sz val="12"/>
        <color theme="0"/>
        <rFont val="Times New Roman"/>
        <family val="1"/>
      </rPr>
      <t>L</t>
    </r>
    <r>
      <rPr>
        <sz val="12"/>
        <color theme="0"/>
        <rFont val="Times New Roman"/>
        <family val="1"/>
      </rPr>
      <t xml:space="preserve"> =</t>
    </r>
  </si>
  <si>
    <r>
      <t>T</t>
    </r>
    <r>
      <rPr>
        <sz val="12"/>
        <color theme="0"/>
        <rFont val="Calibri"/>
        <family val="2"/>
        <scheme val="minor"/>
      </rPr>
      <t xml:space="preserve"> </t>
    </r>
    <r>
      <rPr>
        <vertAlign val="subscript"/>
        <sz val="12"/>
        <color theme="0"/>
        <rFont val="B Nazanin"/>
        <charset val="178"/>
      </rPr>
      <t>طراحی</t>
    </r>
    <r>
      <rPr>
        <sz val="12"/>
        <color theme="0"/>
        <rFont val="Calibri"/>
        <family val="2"/>
        <scheme val="minor"/>
      </rPr>
      <t xml:space="preserve"> </t>
    </r>
    <r>
      <rPr>
        <sz val="12"/>
        <color theme="0"/>
        <rFont val="Times New Roman"/>
        <family val="1"/>
      </rPr>
      <t>=</t>
    </r>
  </si>
  <si>
    <r>
      <t>C</t>
    </r>
    <r>
      <rPr>
        <vertAlign val="subscript"/>
        <sz val="12"/>
        <color theme="0"/>
        <rFont val="Times New Roman"/>
        <family val="1"/>
      </rPr>
      <t>min</t>
    </r>
    <r>
      <rPr>
        <sz val="12"/>
        <color theme="0"/>
        <rFont val="Times New Roman"/>
        <family val="1"/>
      </rPr>
      <t xml:space="preserve"> =</t>
    </r>
  </si>
  <si>
    <r>
      <t>K</t>
    </r>
    <r>
      <rPr>
        <vertAlign val="subscript"/>
        <sz val="12"/>
        <color theme="0"/>
        <rFont val="Times New Roman"/>
        <family val="1"/>
      </rPr>
      <t>Design</t>
    </r>
    <r>
      <rPr>
        <sz val="12"/>
        <color theme="0"/>
        <rFont val="Times New Roman"/>
        <family val="1"/>
      </rPr>
      <t xml:space="preserve"> =</t>
    </r>
  </si>
  <si>
    <r>
      <t>ρ</t>
    </r>
    <r>
      <rPr>
        <sz val="8"/>
        <color theme="0"/>
        <rFont val="Times New Roman"/>
        <family val="1"/>
      </rPr>
      <t>.C</t>
    </r>
    <r>
      <rPr>
        <vertAlign val="subscript"/>
        <sz val="8"/>
        <color theme="0"/>
        <rFont val="Times New Roman"/>
        <family val="1"/>
      </rPr>
      <t>Design</t>
    </r>
    <r>
      <rPr>
        <sz val="8"/>
        <color theme="0"/>
        <rFont val="Times New Roman"/>
        <family val="1"/>
      </rPr>
      <t xml:space="preserve"> =</t>
    </r>
  </si>
  <si>
    <r>
      <t>PGA</t>
    </r>
    <r>
      <rPr>
        <vertAlign val="subscript"/>
        <sz val="12"/>
        <color theme="0"/>
        <rFont val="Times New Roman"/>
        <family val="1"/>
      </rPr>
      <t>S</t>
    </r>
    <r>
      <rPr>
        <sz val="12"/>
        <color theme="0"/>
        <rFont val="Times New Roman"/>
        <family val="1"/>
      </rPr>
      <t xml:space="preserve"> =</t>
    </r>
  </si>
  <si>
    <r>
      <t>0.75</t>
    </r>
    <r>
      <rPr>
        <sz val="11"/>
        <color theme="0"/>
        <rFont val="Artifakt Element"/>
        <family val="2"/>
      </rPr>
      <t>≥</t>
    </r>
    <r>
      <rPr>
        <sz val="11"/>
        <color theme="0"/>
        <rFont val="Times New Roman"/>
        <family val="1"/>
      </rPr>
      <t>Ss</t>
    </r>
    <r>
      <rPr>
        <sz val="11"/>
        <color theme="0"/>
        <rFont val="Artifakt Element"/>
        <family val="2"/>
      </rPr>
      <t>≥</t>
    </r>
    <r>
      <rPr>
        <sz val="11"/>
        <color theme="0"/>
        <rFont val="Times New Roman"/>
        <family val="1"/>
      </rPr>
      <t>0.5</t>
    </r>
  </si>
  <si>
    <r>
      <t>1.0</t>
    </r>
    <r>
      <rPr>
        <sz val="11"/>
        <color theme="0"/>
        <rFont val="Artifakt Element"/>
        <family val="2"/>
      </rPr>
      <t>≥</t>
    </r>
    <r>
      <rPr>
        <sz val="11"/>
        <color theme="0"/>
        <rFont val="Times New Roman"/>
        <family val="1"/>
      </rPr>
      <t>Ss&gt;0.75</t>
    </r>
  </si>
  <si>
    <r>
      <t>1.25</t>
    </r>
    <r>
      <rPr>
        <sz val="11"/>
        <color theme="0"/>
        <rFont val="Artifakt Element"/>
        <family val="2"/>
      </rPr>
      <t>≥</t>
    </r>
    <r>
      <rPr>
        <sz val="11"/>
        <color theme="0"/>
        <rFont val="Times New Roman"/>
        <family val="1"/>
      </rPr>
      <t>Ss&gt;1.0</t>
    </r>
  </si>
  <si>
    <r>
      <t>1.5</t>
    </r>
    <r>
      <rPr>
        <sz val="9.9"/>
        <color theme="0"/>
        <rFont val="Times New Roman"/>
        <family val="1"/>
      </rPr>
      <t>&gt;</t>
    </r>
    <r>
      <rPr>
        <sz val="11"/>
        <color theme="0"/>
        <rFont val="Times New Roman"/>
        <family val="1"/>
      </rPr>
      <t>Ss&gt;1.25</t>
    </r>
  </si>
  <si>
    <r>
      <t>0.3</t>
    </r>
    <r>
      <rPr>
        <sz val="11"/>
        <color theme="0"/>
        <rFont val="Artifakt Element"/>
        <family val="2"/>
      </rPr>
      <t>≥</t>
    </r>
    <r>
      <rPr>
        <sz val="11"/>
        <color theme="0"/>
        <rFont val="Times New Roman"/>
        <family val="1"/>
      </rPr>
      <t>S1</t>
    </r>
    <r>
      <rPr>
        <sz val="11"/>
        <color theme="0"/>
        <rFont val="Artifakt Element"/>
        <family val="2"/>
      </rPr>
      <t>≥</t>
    </r>
    <r>
      <rPr>
        <sz val="11"/>
        <color theme="0"/>
        <rFont val="Times New Roman"/>
        <family val="1"/>
      </rPr>
      <t>0.2</t>
    </r>
  </si>
  <si>
    <r>
      <t>0.4</t>
    </r>
    <r>
      <rPr>
        <sz val="11"/>
        <color theme="0"/>
        <rFont val="Artifakt Element"/>
        <family val="2"/>
      </rPr>
      <t>≥</t>
    </r>
    <r>
      <rPr>
        <sz val="11"/>
        <color theme="0"/>
        <rFont val="Times New Roman"/>
        <family val="1"/>
      </rPr>
      <t>S1&gt;0.3</t>
    </r>
  </si>
  <si>
    <r>
      <t>0.5</t>
    </r>
    <r>
      <rPr>
        <sz val="11"/>
        <color theme="0"/>
        <rFont val="Artifakt Element"/>
        <family val="2"/>
      </rPr>
      <t>≥</t>
    </r>
    <r>
      <rPr>
        <sz val="11"/>
        <color theme="0"/>
        <rFont val="Times New Roman"/>
        <family val="1"/>
      </rPr>
      <t>S1&gt;0.4</t>
    </r>
  </si>
  <si>
    <r>
      <t>0.6</t>
    </r>
    <r>
      <rPr>
        <sz val="11"/>
        <color theme="0"/>
        <rFont val="Artifakt Element"/>
        <family val="2"/>
      </rPr>
      <t>&gt;</t>
    </r>
    <r>
      <rPr>
        <sz val="11"/>
        <color theme="0"/>
        <rFont val="Times New Roman"/>
        <family val="1"/>
      </rPr>
      <t>S1&gt;0.5</t>
    </r>
  </si>
  <si>
    <r>
      <t>جدول ۳-۲ ضریب تاثیر نوع ساختگاه بر شتاب بیشینه زمین (</t>
    </r>
    <r>
      <rPr>
        <b/>
        <sz val="14"/>
        <color theme="0"/>
        <rFont val="Times New Roman"/>
        <family val="1"/>
      </rPr>
      <t xml:space="preserve"> F</t>
    </r>
    <r>
      <rPr>
        <b/>
        <vertAlign val="subscript"/>
        <sz val="14"/>
        <color theme="0"/>
        <rFont val="Times New Roman"/>
        <family val="1"/>
      </rPr>
      <t>PGA</t>
    </r>
    <r>
      <rPr>
        <b/>
        <sz val="14"/>
        <color theme="0"/>
        <rFont val="Times New Roman"/>
        <family val="1"/>
      </rPr>
      <t xml:space="preserve"> </t>
    </r>
    <r>
      <rPr>
        <b/>
        <sz val="14"/>
        <color theme="0"/>
        <rFont val="B Nazanin"/>
        <charset val="178"/>
      </rPr>
      <t>)</t>
    </r>
  </si>
  <si>
    <r>
      <t>0.3</t>
    </r>
    <r>
      <rPr>
        <sz val="11"/>
        <color theme="0"/>
        <rFont val="Artifakt Element"/>
        <family val="2"/>
      </rPr>
      <t>≥</t>
    </r>
    <r>
      <rPr>
        <sz val="11"/>
        <color theme="0"/>
        <rFont val="Times New Roman"/>
        <family val="1"/>
      </rPr>
      <t>PGA</t>
    </r>
    <r>
      <rPr>
        <sz val="11"/>
        <color theme="0"/>
        <rFont val="Artifakt Element"/>
        <family val="2"/>
      </rPr>
      <t>≥</t>
    </r>
    <r>
      <rPr>
        <sz val="11"/>
        <color theme="0"/>
        <rFont val="Times New Roman"/>
        <family val="1"/>
      </rPr>
      <t>0.2</t>
    </r>
  </si>
  <si>
    <r>
      <t>0.4</t>
    </r>
    <r>
      <rPr>
        <sz val="11"/>
        <color theme="0"/>
        <rFont val="Artifakt Element"/>
        <family val="2"/>
      </rPr>
      <t>≥</t>
    </r>
    <r>
      <rPr>
        <sz val="11"/>
        <color theme="0"/>
        <rFont val="Times New Roman"/>
        <family val="1"/>
      </rPr>
      <t>PGA&gt;0.3</t>
    </r>
  </si>
  <si>
    <r>
      <t>0.5</t>
    </r>
    <r>
      <rPr>
        <sz val="11"/>
        <color theme="0"/>
        <rFont val="Artifakt Element"/>
        <family val="2"/>
      </rPr>
      <t>≥</t>
    </r>
    <r>
      <rPr>
        <sz val="11"/>
        <color theme="0"/>
        <rFont val="Times New Roman"/>
        <family val="1"/>
      </rPr>
      <t>PGA&gt;0.4</t>
    </r>
  </si>
  <si>
    <r>
      <t>0.6</t>
    </r>
    <r>
      <rPr>
        <sz val="11"/>
        <color theme="0"/>
        <rFont val="Artifakt Element"/>
        <family val="2"/>
      </rPr>
      <t>&gt;</t>
    </r>
    <r>
      <rPr>
        <sz val="11"/>
        <color theme="0"/>
        <rFont val="Times New Roman"/>
        <family val="1"/>
      </rPr>
      <t>PGA&gt;0.5</t>
    </r>
  </si>
  <si>
    <r>
      <t>0.3</t>
    </r>
    <r>
      <rPr>
        <sz val="10"/>
        <color theme="0"/>
        <rFont val="Artifakt Element"/>
        <family val="2"/>
      </rPr>
      <t>≥</t>
    </r>
    <r>
      <rPr>
        <sz val="10"/>
        <color theme="0"/>
        <rFont val="Times New Roman"/>
        <family val="1"/>
      </rPr>
      <t>S</t>
    </r>
    <r>
      <rPr>
        <vertAlign val="subscript"/>
        <sz val="10"/>
        <color theme="0"/>
        <rFont val="Times New Roman"/>
        <family val="1"/>
      </rPr>
      <t>MS</t>
    </r>
    <r>
      <rPr>
        <sz val="10"/>
        <color theme="0"/>
        <rFont val="Artifakt Element"/>
        <family val="2"/>
      </rPr>
      <t>≥</t>
    </r>
    <r>
      <rPr>
        <sz val="10"/>
        <color theme="0"/>
        <rFont val="Times New Roman"/>
        <family val="1"/>
      </rPr>
      <t>0.2</t>
    </r>
  </si>
  <si>
    <r>
      <t>0.6</t>
    </r>
    <r>
      <rPr>
        <sz val="10"/>
        <color theme="0"/>
        <rFont val="Artifakt Element"/>
        <family val="2"/>
      </rPr>
      <t>≥</t>
    </r>
    <r>
      <rPr>
        <sz val="10"/>
        <color theme="0"/>
        <rFont val="Times New Roman"/>
        <family val="1"/>
      </rPr>
      <t>S</t>
    </r>
    <r>
      <rPr>
        <vertAlign val="subscript"/>
        <sz val="10"/>
        <color theme="0"/>
        <rFont val="Times New Roman"/>
        <family val="1"/>
      </rPr>
      <t>MS</t>
    </r>
    <r>
      <rPr>
        <sz val="10"/>
        <color theme="0"/>
        <rFont val="Artifakt Element"/>
        <family val="2"/>
      </rPr>
      <t>&gt;</t>
    </r>
    <r>
      <rPr>
        <sz val="10"/>
        <color theme="0"/>
        <rFont val="Times New Roman"/>
        <family val="1"/>
      </rPr>
      <t>0.3</t>
    </r>
  </si>
  <si>
    <r>
      <t>1.0</t>
    </r>
    <r>
      <rPr>
        <sz val="10"/>
        <color theme="0"/>
        <rFont val="Artifakt Element"/>
        <family val="2"/>
      </rPr>
      <t>≥</t>
    </r>
    <r>
      <rPr>
        <sz val="10"/>
        <color theme="0"/>
        <rFont val="Times New Roman"/>
        <family val="1"/>
      </rPr>
      <t>S</t>
    </r>
    <r>
      <rPr>
        <vertAlign val="subscript"/>
        <sz val="10"/>
        <color theme="0"/>
        <rFont val="Times New Roman"/>
        <family val="1"/>
      </rPr>
      <t>MS</t>
    </r>
    <r>
      <rPr>
        <sz val="10"/>
        <color theme="0"/>
        <rFont val="Artifakt Element"/>
        <family val="2"/>
      </rPr>
      <t>&gt;</t>
    </r>
    <r>
      <rPr>
        <sz val="10"/>
        <color theme="0"/>
        <rFont val="Times New Roman"/>
        <family val="1"/>
      </rPr>
      <t>0.6</t>
    </r>
  </si>
  <si>
    <r>
      <t>2.0</t>
    </r>
    <r>
      <rPr>
        <sz val="10"/>
        <color theme="0"/>
        <rFont val="Artifakt Element"/>
        <family val="2"/>
      </rPr>
      <t>≥</t>
    </r>
    <r>
      <rPr>
        <sz val="10"/>
        <color theme="0"/>
        <rFont val="Times New Roman"/>
        <family val="1"/>
      </rPr>
      <t>S</t>
    </r>
    <r>
      <rPr>
        <vertAlign val="subscript"/>
        <sz val="10"/>
        <color theme="0"/>
        <rFont val="Times New Roman"/>
        <family val="1"/>
      </rPr>
      <t>MS</t>
    </r>
    <r>
      <rPr>
        <sz val="10"/>
        <color theme="0"/>
        <rFont val="Artifakt Element"/>
        <family val="2"/>
      </rPr>
      <t>&gt;</t>
    </r>
    <r>
      <rPr>
        <sz val="10"/>
        <color theme="0"/>
        <rFont val="Times New Roman"/>
        <family val="1"/>
      </rPr>
      <t>1.0</t>
    </r>
  </si>
  <si>
    <t>گام اول</t>
  </si>
  <si>
    <r>
      <rPr>
        <b/>
        <sz val="12"/>
        <color theme="1"/>
        <rFont val="B Nazanin"/>
        <charset val="178"/>
      </rPr>
      <t>تمام بخش جدول طیف طرح انتخاب شود.</t>
    </r>
    <r>
      <rPr>
        <sz val="12"/>
        <color theme="1"/>
        <rFont val="B Nazanin"/>
        <charset val="178"/>
      </rPr>
      <t xml:space="preserve">
</t>
    </r>
    <r>
      <rPr>
        <sz val="11"/>
        <color theme="1"/>
        <rFont val="B Nazanin"/>
        <charset val="178"/>
      </rPr>
      <t>با کلیک موس بر گوشه بالایی جدول طیف طرح و نگه داشتن کلیک موس به گوشه مجاور پایین جدول درگ شود</t>
    </r>
  </si>
  <si>
    <t>گام دوم</t>
  </si>
  <si>
    <t>گام سوم</t>
  </si>
  <si>
    <t>گام پنجم</t>
  </si>
  <si>
    <r>
      <rPr>
        <b/>
        <sz val="12"/>
        <color theme="1"/>
        <rFont val="B Nazanin"/>
        <charset val="178"/>
      </rPr>
      <t>ایجاد یک نوت پد (Text document)</t>
    </r>
    <r>
      <rPr>
        <sz val="12"/>
        <color theme="1"/>
        <rFont val="B Nazanin"/>
        <charset val="178"/>
      </rPr>
      <t xml:space="preserve">
</t>
    </r>
    <r>
      <rPr>
        <sz val="11"/>
        <color theme="1"/>
        <rFont val="B Nazanin"/>
        <charset val="178"/>
      </rPr>
      <t xml:space="preserve">در یک پوشه یا دسکتاپ کلیک راست کرده و از بخش </t>
    </r>
    <r>
      <rPr>
        <sz val="11"/>
        <color theme="1"/>
        <rFont val="Times New Roman"/>
        <family val="1"/>
      </rPr>
      <t>New</t>
    </r>
    <r>
      <rPr>
        <sz val="11"/>
        <color theme="1"/>
        <rFont val="B Nazanin"/>
        <charset val="178"/>
      </rPr>
      <t xml:space="preserve"> یک فایل متنی </t>
    </r>
    <r>
      <rPr>
        <sz val="11"/>
        <color theme="1"/>
        <rFont val="Times New Roman"/>
        <family val="1"/>
      </rPr>
      <t>Text document</t>
    </r>
    <r>
      <rPr>
        <sz val="11"/>
        <color theme="1"/>
        <rFont val="B Nazanin"/>
        <charset val="178"/>
      </rPr>
      <t xml:space="preserve"> ایجاد کنید.</t>
    </r>
  </si>
  <si>
    <r>
      <rPr>
        <b/>
        <sz val="12"/>
        <color theme="1"/>
        <rFont val="B Nazanin"/>
        <charset val="178"/>
      </rPr>
      <t>کپی سلول‌های انتخاب شده</t>
    </r>
    <r>
      <rPr>
        <sz val="12"/>
        <color theme="1"/>
        <rFont val="B Nazanin"/>
        <charset val="178"/>
      </rPr>
      <t xml:space="preserve">
</t>
    </r>
    <r>
      <rPr>
        <sz val="11"/>
        <color theme="1"/>
        <rFont val="B Nazanin"/>
        <charset val="178"/>
      </rPr>
      <t>با کلیک راست بر روی سلول‌های انتخاب شده یا دستور (Ctrl+C)  سلول‌های انتخاب شده کپی گردد.</t>
    </r>
  </si>
  <si>
    <t>گام ششم</t>
  </si>
  <si>
    <t>گام هفتم</t>
  </si>
  <si>
    <t>گام هشتم</t>
  </si>
  <si>
    <r>
      <rPr>
        <b/>
        <sz val="12"/>
        <color theme="1"/>
        <rFont val="B Nazanin"/>
        <charset val="178"/>
      </rPr>
      <t>معرفی فایل</t>
    </r>
    <r>
      <rPr>
        <sz val="12"/>
        <color theme="1"/>
        <rFont val="B Nazanin"/>
        <charset val="178"/>
      </rPr>
      <t xml:space="preserve">
با کلیک بر روی </t>
    </r>
    <r>
      <rPr>
        <sz val="12"/>
        <color theme="1"/>
        <rFont val="Times New Roman"/>
        <family val="1"/>
      </rPr>
      <t>Browse</t>
    </r>
    <r>
      <rPr>
        <sz val="12"/>
        <color theme="1"/>
        <rFont val="B Nazanin"/>
        <charset val="178"/>
      </rPr>
      <t xml:space="preserve"> فایل متنی ساخته شده را انتخاب فرمایید
با کلیک بر روی گزینه </t>
    </r>
    <r>
      <rPr>
        <sz val="12"/>
        <color theme="1"/>
        <rFont val="Times New Roman"/>
        <family val="1"/>
      </rPr>
      <t>Conver to User Defiend</t>
    </r>
    <r>
      <rPr>
        <sz val="12"/>
        <color theme="1"/>
        <rFont val="B Nazanin"/>
        <charset val="178"/>
      </rPr>
      <t xml:space="preserve"> اعداد قابل نمایش و ویرایش می گردد.
</t>
    </r>
  </si>
  <si>
    <t>پس از وارد کردن اطلاعات، طبق مراحل زیر اقدام به معرفی طیف طرح به نرم‌افزار Etabs صورت گیرد.</t>
  </si>
  <si>
    <r>
      <rPr>
        <b/>
        <sz val="12"/>
        <color theme="1"/>
        <rFont val="B Nazanin"/>
        <charset val="178"/>
      </rPr>
      <t xml:space="preserve">چسباندن سلول‌های انتخاب شده در فایل متنی
</t>
    </r>
    <r>
      <rPr>
        <sz val="11"/>
        <color theme="1"/>
        <rFont val="B Nazanin"/>
        <charset val="178"/>
      </rPr>
      <t xml:space="preserve">در فایل متنی با دستور ( </t>
    </r>
    <r>
      <rPr>
        <sz val="11"/>
        <color theme="1"/>
        <rFont val="Times New Roman"/>
        <family val="1"/>
      </rPr>
      <t>Ctrl+V</t>
    </r>
    <r>
      <rPr>
        <sz val="11"/>
        <color theme="1"/>
        <rFont val="B Nazanin"/>
        <charset val="178"/>
      </rPr>
      <t xml:space="preserve"> ) متن انتخاب شده در فایل متنی الحاق گردد
</t>
    </r>
    <r>
      <rPr>
        <b/>
        <sz val="11"/>
        <color theme="1"/>
        <rFont val="B Nazanin"/>
        <charset val="178"/>
      </rPr>
      <t>دفت شود اخرین سطر، همان سطر نوشته ها باشد و اگر سطر خالی ایجاد شده است، پاک شود. تا ایتبز خطا ندهد.</t>
    </r>
    <r>
      <rPr>
        <sz val="12"/>
        <color theme="1"/>
        <rFont val="B Nazanin"/>
        <charset val="178"/>
      </rPr>
      <t xml:space="preserve">
</t>
    </r>
    <r>
      <rPr>
        <sz val="11"/>
        <color theme="1"/>
        <rFont val="B Nazanin"/>
        <charset val="178"/>
      </rPr>
      <t>سپس فایل ذخیره و بسته شود</t>
    </r>
  </si>
  <si>
    <r>
      <rPr>
        <b/>
        <sz val="12"/>
        <color theme="1"/>
        <rFont val="B Nazanin"/>
        <charset val="178"/>
      </rPr>
      <t xml:space="preserve">معرفی مقادیر طیف طرح در نرم افزار Etabs
</t>
    </r>
    <r>
      <rPr>
        <sz val="11"/>
        <color theme="1"/>
        <rFont val="B Nazanin"/>
        <charset val="178"/>
      </rPr>
      <t xml:space="preserve">در ایتبز از دستور زیر طیف طرح معرفی گردد.
</t>
    </r>
    <r>
      <rPr>
        <sz val="11"/>
        <color theme="1"/>
        <rFont val="Times New Roman"/>
        <family val="1"/>
      </rPr>
      <t xml:space="preserve">Define &gt; Functions &gt; Response Spectrum
</t>
    </r>
  </si>
  <si>
    <r>
      <t xml:space="preserve">در پنجره باز شده از لیست گزینه </t>
    </r>
    <r>
      <rPr>
        <sz val="11"/>
        <color theme="1"/>
        <rFont val="Times New Roman"/>
        <family val="1"/>
      </rPr>
      <t>From file</t>
    </r>
    <r>
      <rPr>
        <sz val="11"/>
        <color theme="1"/>
        <rFont val="Calibri"/>
        <family val="2"/>
        <scheme val="minor"/>
      </rPr>
      <t xml:space="preserve"> انتخاب شود و گزینه </t>
    </r>
    <r>
      <rPr>
        <sz val="11"/>
        <color theme="1"/>
        <rFont val="Times New Roman"/>
        <family val="1"/>
      </rPr>
      <t>Add new function</t>
    </r>
    <r>
      <rPr>
        <sz val="11"/>
        <color theme="1"/>
        <rFont val="Calibri"/>
        <family val="2"/>
        <scheme val="minor"/>
      </rPr>
      <t xml:space="preserve"> انتخاب شود.</t>
    </r>
  </si>
  <si>
    <t>sec</t>
  </si>
  <si>
    <t>ارتفاع ساختمان:</t>
  </si>
  <si>
    <t>شتاب حداکثر زلزله بیشینه موضوع بند ۱-۳-۲</t>
  </si>
  <si>
    <t>PGA =</t>
  </si>
  <si>
    <t>شتاب بیشینه در سنگ بستر</t>
  </si>
  <si>
    <t>ضریب تاثیر نوع ساختگاه بر شتاب بیشینه  زمین براساس جدول ۳-۲</t>
  </si>
  <si>
    <t>شتاب حداکثر زلزله بیشینه در سطح زمین</t>
  </si>
  <si>
    <r>
      <t>S1</t>
    </r>
    <r>
      <rPr>
        <sz val="11"/>
        <rFont val="Artifakt Element"/>
        <family val="2"/>
      </rPr>
      <t>≥</t>
    </r>
    <r>
      <rPr>
        <sz val="11"/>
        <rFont val="Times New Roman"/>
        <family val="1"/>
      </rPr>
      <t>0.6</t>
    </r>
  </si>
  <si>
    <r>
      <t xml:space="preserve">PGA </t>
    </r>
    <r>
      <rPr>
        <sz val="11"/>
        <rFont val="Artifakt Element"/>
        <family val="2"/>
      </rPr>
      <t>≥</t>
    </r>
    <r>
      <rPr>
        <sz val="11"/>
        <rFont val="Times New Roman"/>
        <family val="1"/>
      </rPr>
      <t xml:space="preserve"> 0.6</t>
    </r>
  </si>
  <si>
    <r>
      <t xml:space="preserve">(بر حسب شتاب ثقل) </t>
    </r>
    <r>
      <rPr>
        <sz val="12"/>
        <rFont val="Times New Roman"/>
        <family val="1"/>
      </rPr>
      <t>S</t>
    </r>
    <r>
      <rPr>
        <vertAlign val="subscript"/>
        <sz val="12"/>
        <rFont val="Times New Roman"/>
        <family val="1"/>
      </rPr>
      <t>MS</t>
    </r>
  </si>
  <si>
    <r>
      <t xml:space="preserve">  S</t>
    </r>
    <r>
      <rPr>
        <vertAlign val="subscript"/>
        <sz val="10"/>
        <rFont val="Times New Roman"/>
        <family val="1"/>
      </rPr>
      <t>MS</t>
    </r>
    <r>
      <rPr>
        <sz val="10"/>
        <rFont val="Times New Roman"/>
        <family val="1"/>
      </rPr>
      <t xml:space="preserve"> </t>
    </r>
    <r>
      <rPr>
        <sz val="10"/>
        <rFont val="Artifakt Element"/>
        <family val="2"/>
      </rPr>
      <t>≥</t>
    </r>
    <r>
      <rPr>
        <sz val="10"/>
        <rFont val="Times New Roman"/>
        <family val="1"/>
      </rPr>
      <t xml:space="preserve"> 0.2</t>
    </r>
  </si>
  <si>
    <r>
      <t>S</t>
    </r>
    <r>
      <rPr>
        <vertAlign val="subscript"/>
        <sz val="10"/>
        <rFont val="Times New Roman"/>
        <family val="1"/>
      </rPr>
      <t>MS</t>
    </r>
    <r>
      <rPr>
        <sz val="10"/>
        <rFont val="Times New Roman"/>
        <family val="1"/>
      </rPr>
      <t xml:space="preserve"> = 0.3</t>
    </r>
  </si>
  <si>
    <r>
      <t>S</t>
    </r>
    <r>
      <rPr>
        <vertAlign val="subscript"/>
        <sz val="10"/>
        <rFont val="Times New Roman"/>
        <family val="1"/>
      </rPr>
      <t>MS</t>
    </r>
    <r>
      <rPr>
        <sz val="10"/>
        <rFont val="Times New Roman"/>
        <family val="1"/>
      </rPr>
      <t xml:space="preserve"> = 0.6</t>
    </r>
  </si>
  <si>
    <r>
      <t>S</t>
    </r>
    <r>
      <rPr>
        <vertAlign val="subscript"/>
        <sz val="10"/>
        <rFont val="Times New Roman"/>
        <family val="1"/>
      </rPr>
      <t>MS</t>
    </r>
    <r>
      <rPr>
        <sz val="10"/>
        <rFont val="Times New Roman"/>
        <family val="1"/>
      </rPr>
      <t xml:space="preserve"> = 1.0</t>
    </r>
  </si>
  <si>
    <r>
      <t>2.0 ≥</t>
    </r>
    <r>
      <rPr>
        <sz val="9"/>
        <rFont val="Times New Roman"/>
        <family val="1"/>
      </rPr>
      <t xml:space="preserve"> </t>
    </r>
    <r>
      <rPr>
        <sz val="10"/>
        <rFont val="Times New Roman"/>
        <family val="1"/>
      </rPr>
      <t>S</t>
    </r>
    <r>
      <rPr>
        <vertAlign val="subscript"/>
        <sz val="10"/>
        <rFont val="Times New Roman"/>
        <family val="1"/>
      </rPr>
      <t>MS</t>
    </r>
  </si>
  <si>
    <t>بخش دوم: شرح ریز محاسبات محاسبه ضریب زلزله براساس پیش نویس ۲۸۰۰ ویرایش پنجم</t>
  </si>
  <si>
    <t>ادامه بخش دوم: شرح ریز محاسبات محاسبه ضریب زلزله براساس پیش نویس ۲۸۰۰ ویرایش پنجم</t>
  </si>
  <si>
    <t>روش اول</t>
  </si>
  <si>
    <t>از تب‌های بالای اکسل وارد تب File را انتخاب فرمایید. گزینه Save As را انتخاب فرمایید.</t>
  </si>
  <si>
    <t xml:space="preserve"> گزینه Save As را انتخاب فرمایید.</t>
  </si>
  <si>
    <t xml:space="preserve"> گزینه Save As Adobe PDF را انتخاب فرمایید.</t>
  </si>
  <si>
    <t>انتخاب صفحات مورد نظر جهت PDF ساخت PDF</t>
  </si>
  <si>
    <r>
      <t xml:space="preserve">روش دوم
</t>
    </r>
    <r>
      <rPr>
        <sz val="14"/>
        <color theme="1"/>
        <rFont val="B Nazanin"/>
        <charset val="178"/>
      </rPr>
      <t>این روش در صورت نصب برنامه Adobe Acrobot در دسترس هست</t>
    </r>
  </si>
  <si>
    <t>ادرس دهی محل ذخیره و انتخاب گزینه PDF</t>
  </si>
  <si>
    <r>
      <t xml:space="preserve">راهنمای معرفی طیف طرح به </t>
    </r>
    <r>
      <rPr>
        <b/>
        <sz val="18"/>
        <color theme="0"/>
        <rFont val="Times New Roman"/>
        <family val="1"/>
      </rPr>
      <t>Etabs</t>
    </r>
  </si>
  <si>
    <r>
      <t xml:space="preserve">روش سوم
</t>
    </r>
    <r>
      <rPr>
        <sz val="14"/>
        <color theme="1"/>
        <rFont val="Calibri"/>
        <family val="2"/>
        <scheme val="minor"/>
      </rPr>
      <t>این روش در صورت نصب پرینتر حقیقی یا مجازی قابل اجرا هست</t>
    </r>
  </si>
  <si>
    <r>
      <t xml:space="preserve">راهنمای چاپ و خروجی عکس یا PDF 
</t>
    </r>
    <r>
      <rPr>
        <sz val="18"/>
        <color theme="0"/>
        <rFont val="B Nazanin"/>
        <charset val="178"/>
      </rPr>
      <t>در ادامه سه روش مختلف جهت خروجی فایل ها ذکر گردیده است.</t>
    </r>
  </si>
  <si>
    <t xml:space="preserve"> گزینه Print را انتخاب فرمایید.</t>
  </si>
  <si>
    <t>پرینتر حقیقی یا مجازی مورد نظر رو انتخاب کرده و اقدام به پرینت فرمایید
برخی از پرینترهای مجازی قابلیت پرینت به صورت عکس نیز هستند.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</si>
</sst>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0.0000"/>
    <numFmt numFmtId="166" formatCode="0.000000"/>
    <numFmt numFmtId="167" formatCode="0.0"/>
    <numFmt numFmtId="168" formatCode="0.000"/>
  </numFmts>
  <fonts count="147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B Nazanin"/>
      <charset val="178"/>
    </font>
    <font>
      <u/>
      <sz val="11"/>
      <color theme="10"/>
      <name val="Calibri"/>
      <family val="2"/>
      <scheme val="minor"/>
    </font>
    <font>
      <sz val="11"/>
      <name val="Times New Roman"/>
      <family val="1"/>
    </font>
    <font>
      <sz val="12"/>
      <color theme="1"/>
      <name val="B Nazanin"/>
      <charset val="178"/>
    </font>
    <font>
      <sz val="11"/>
      <name val="IRNazanin"/>
    </font>
    <font>
      <sz val="12"/>
      <name val="IRNazanin"/>
    </font>
    <font>
      <u/>
      <sz val="11"/>
      <name val="IRNazanin"/>
    </font>
    <font>
      <sz val="20"/>
      <name val="IRNazanin"/>
    </font>
    <font>
      <sz val="11"/>
      <color rgb="FFC00000"/>
      <name val="IRNazanin"/>
    </font>
    <font>
      <b/>
      <sz val="11"/>
      <color rgb="FFC00000"/>
      <name val="IRNazanin"/>
    </font>
    <font>
      <sz val="11"/>
      <color rgb="FFFF0000"/>
      <name val="IRNazanin"/>
    </font>
    <font>
      <b/>
      <sz val="14"/>
      <color theme="0"/>
      <name val="B Nazanin"/>
      <charset val="178"/>
    </font>
    <font>
      <sz val="12"/>
      <color theme="0"/>
      <name val="B Nazanin"/>
      <charset val="178"/>
    </font>
    <font>
      <sz val="11"/>
      <color theme="0"/>
      <name val="Times New Roman"/>
      <family val="1"/>
    </font>
    <font>
      <sz val="16"/>
      <name val="Wingdings"/>
      <charset val="2"/>
    </font>
    <font>
      <b/>
      <sz val="12"/>
      <color theme="1"/>
      <name val="B Nazanin"/>
      <charset val="178"/>
    </font>
    <font>
      <b/>
      <sz val="14"/>
      <name val="B Nazanin"/>
      <charset val="178"/>
    </font>
    <font>
      <sz val="14"/>
      <name val="Times New Roman"/>
      <family val="1"/>
    </font>
    <font>
      <sz val="11"/>
      <color rgb="FFC00000"/>
      <name val="Times New Roman"/>
      <family val="1"/>
    </font>
    <font>
      <sz val="10"/>
      <color theme="1" tint="0.249977111117893"/>
      <name val="Cambria"/>
      <family val="1"/>
      <scheme val="major"/>
    </font>
    <font>
      <b/>
      <sz val="12"/>
      <name val="IRNazanin"/>
    </font>
    <font>
      <b/>
      <sz val="14"/>
      <name val="IRNazanin"/>
    </font>
    <font>
      <b/>
      <sz val="11"/>
      <color theme="1"/>
      <name val="IRNazanin"/>
    </font>
    <font>
      <sz val="12"/>
      <color rgb="FFC00000"/>
      <name val="Cambria"/>
      <family val="1"/>
      <scheme val="major"/>
    </font>
    <font>
      <sz val="11"/>
      <color theme="1" tint="0.34998626667073579"/>
      <name val="Times New Roman"/>
      <family val="1"/>
    </font>
    <font>
      <vertAlign val="subscript"/>
      <sz val="11"/>
      <color theme="1" tint="0.34998626667073579"/>
      <name val="Times New Roman"/>
      <family val="1"/>
    </font>
    <font>
      <sz val="8"/>
      <name val="Calibri"/>
      <family val="2"/>
      <scheme val="minor"/>
    </font>
    <font>
      <sz val="12"/>
      <name val="Times New Roman"/>
      <family val="1"/>
    </font>
    <font>
      <sz val="12"/>
      <color rgb="FFC00000"/>
      <name val="Times New Roman"/>
      <family val="1"/>
    </font>
    <font>
      <b/>
      <sz val="12"/>
      <name val="B Nazanin"/>
      <charset val="178"/>
    </font>
    <font>
      <sz val="11"/>
      <color theme="1" tint="0.249977111117893"/>
      <name val="Cambria"/>
      <family val="1"/>
      <scheme val="major"/>
    </font>
    <font>
      <sz val="12"/>
      <color rgb="FFC00000"/>
      <name val="B Nazanin"/>
      <charset val="178"/>
    </font>
    <font>
      <sz val="11"/>
      <color rgb="FFC00000"/>
      <name val="B Nazanin"/>
      <charset val="178"/>
    </font>
    <font>
      <u/>
      <sz val="11"/>
      <name val="Times New Roman"/>
      <family val="1"/>
    </font>
    <font>
      <b/>
      <sz val="12"/>
      <name val="Times New Roman"/>
      <family val="1"/>
    </font>
    <font>
      <sz val="12"/>
      <name val="B Nazanin"/>
      <charset val="178"/>
    </font>
    <font>
      <b/>
      <sz val="11"/>
      <color rgb="FFC00000"/>
      <name val="B Nazanin"/>
      <charset val="178"/>
    </font>
    <font>
      <b/>
      <sz val="12"/>
      <color rgb="FFC00000"/>
      <name val="B Nazanin"/>
      <charset val="178"/>
    </font>
    <font>
      <sz val="11"/>
      <color theme="0"/>
      <name val="IRNazanin"/>
    </font>
    <font>
      <u/>
      <sz val="11"/>
      <color theme="0"/>
      <name val="IRNazanin"/>
    </font>
    <font>
      <b/>
      <sz val="12"/>
      <color theme="0"/>
      <name val="B Nazanin"/>
      <charset val="178"/>
    </font>
    <font>
      <u/>
      <sz val="11"/>
      <color rgb="FFC00000"/>
      <name val="IRNazanin"/>
    </font>
    <font>
      <sz val="11"/>
      <color theme="1" tint="0.14999847407452621"/>
      <name val="IRNazanin"/>
    </font>
    <font>
      <sz val="11"/>
      <color theme="1" tint="0.14999847407452621"/>
      <name val="Times New Roman"/>
      <family val="1"/>
    </font>
    <font>
      <sz val="12"/>
      <color theme="1" tint="0.14999847407452621"/>
      <name val="Times New Roman"/>
      <family val="1"/>
    </font>
    <font>
      <sz val="12"/>
      <color theme="1" tint="0.34998626667073579"/>
      <name val="Times New Roman"/>
      <family val="1"/>
    </font>
    <font>
      <sz val="10"/>
      <color theme="9" tint="-0.499984740745262"/>
      <name val="IRNazanin"/>
    </font>
    <font>
      <sz val="11"/>
      <color theme="9" tint="-0.499984740745262"/>
      <name val="IRNazanin"/>
    </font>
    <font>
      <sz val="12"/>
      <color theme="1"/>
      <name val="Times New Roman"/>
      <family val="1"/>
    </font>
    <font>
      <vertAlign val="subscript"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vertAlign val="subscript"/>
      <sz val="12"/>
      <color theme="1"/>
      <name val="B Nazanin"/>
      <charset val="178"/>
    </font>
    <font>
      <sz val="12"/>
      <color theme="0"/>
      <name val="IRNazanin"/>
    </font>
    <font>
      <sz val="14"/>
      <name val="IRNazanin"/>
    </font>
    <font>
      <sz val="9.9"/>
      <name val="B Nazanin"/>
      <charset val="178"/>
    </font>
    <font>
      <sz val="11"/>
      <name val="Sylfaen"/>
      <family val="1"/>
    </font>
    <font>
      <sz val="12"/>
      <color theme="1"/>
      <name val="Sylfaen"/>
      <family val="1"/>
    </font>
    <font>
      <sz val="10.8"/>
      <color theme="1"/>
      <name val="Times New Roman"/>
      <family val="1"/>
    </font>
    <font>
      <b/>
      <sz val="14"/>
      <name val="Times New Roman"/>
      <family val="1"/>
    </font>
    <font>
      <b/>
      <sz val="12"/>
      <color rgb="FFC00000"/>
      <name val="IRNazanin"/>
    </font>
    <font>
      <sz val="18"/>
      <color rgb="FFC00000"/>
      <name val="Wingdings"/>
      <charset val="2"/>
    </font>
    <font>
      <sz val="14"/>
      <name val="B Nazanin"/>
      <charset val="178"/>
    </font>
    <font>
      <u/>
      <sz val="12"/>
      <name val="Times New Roman"/>
      <family val="1"/>
    </font>
    <font>
      <sz val="18"/>
      <color rgb="FF009900"/>
      <name val="Wingdings"/>
      <charset val="2"/>
    </font>
    <font>
      <sz val="18"/>
      <color theme="3" tint="-0.249977111117893"/>
      <name val="Wingdings"/>
      <charset val="2"/>
    </font>
    <font>
      <sz val="12"/>
      <color theme="3" tint="-0.249977111117893"/>
      <name val="Wingdings"/>
      <charset val="2"/>
    </font>
    <font>
      <sz val="12"/>
      <color theme="3" tint="-0.249977111117893"/>
      <name val="Times New Roman"/>
      <family val="1"/>
    </font>
    <font>
      <sz val="14"/>
      <color theme="3" tint="-0.249977111117893"/>
      <name val="Wingdings"/>
      <charset val="2"/>
    </font>
    <font>
      <sz val="14"/>
      <color theme="3" tint="-0.249977111117893"/>
      <name val="IRNazanin"/>
    </font>
    <font>
      <sz val="10"/>
      <name val="Times New Roman"/>
      <family val="1"/>
    </font>
    <font>
      <b/>
      <sz val="10"/>
      <color rgb="FFC00000"/>
      <name val="B Nazanin"/>
      <charset val="178"/>
    </font>
    <font>
      <i/>
      <sz val="12"/>
      <name val="Times New Roman"/>
      <family val="1"/>
    </font>
    <font>
      <b/>
      <i/>
      <sz val="12"/>
      <name val="Times New Roman"/>
      <family val="1"/>
    </font>
    <font>
      <b/>
      <sz val="9"/>
      <color rgb="FFC00000"/>
      <name val="B Nazanin"/>
      <charset val="178"/>
    </font>
    <font>
      <sz val="16"/>
      <color theme="4"/>
      <name val="Wingdings"/>
      <charset val="2"/>
    </font>
    <font>
      <sz val="16"/>
      <color theme="4"/>
      <name val="IRNazanin"/>
    </font>
    <font>
      <sz val="11"/>
      <color theme="4"/>
      <name val="IRNazanin"/>
    </font>
    <font>
      <b/>
      <sz val="11"/>
      <name val="B Nazanin"/>
      <charset val="178"/>
    </font>
    <font>
      <sz val="10"/>
      <name val="B Nazanin"/>
      <charset val="178"/>
    </font>
    <font>
      <b/>
      <sz val="14"/>
      <color theme="1"/>
      <name val="Calibri"/>
      <family val="2"/>
      <scheme val="minor"/>
    </font>
    <font>
      <b/>
      <sz val="14"/>
      <color theme="1"/>
      <name val="B Nazanin"/>
      <charset val="178"/>
    </font>
    <font>
      <b/>
      <sz val="14"/>
      <color rgb="FF000000"/>
      <name val="B Nazanin"/>
      <charset val="178"/>
    </font>
    <font>
      <b/>
      <sz val="14"/>
      <color rgb="FF000000"/>
      <name val="Times New Roman"/>
      <family val="1"/>
    </font>
    <font>
      <b/>
      <vertAlign val="subscript"/>
      <sz val="14"/>
      <color rgb="FF000000"/>
      <name val="Times New Roman"/>
      <family val="1"/>
    </font>
    <font>
      <b/>
      <sz val="16"/>
      <color rgb="FFC00000"/>
      <name val="Wingdings"/>
      <charset val="2"/>
    </font>
    <font>
      <vertAlign val="subscript"/>
      <sz val="11"/>
      <color theme="1" tint="0.14999847407452621"/>
      <name val="Times New Roman"/>
      <family val="1"/>
    </font>
    <font>
      <sz val="11"/>
      <color theme="1" tint="0.14999847407452621"/>
      <name val="Calibri"/>
      <family val="2"/>
      <scheme val="minor"/>
    </font>
    <font>
      <vertAlign val="subscript"/>
      <sz val="11"/>
      <color theme="1" tint="0.14999847407452621"/>
      <name val="B Nazanin"/>
      <charset val="178"/>
    </font>
    <font>
      <sz val="11"/>
      <color theme="1"/>
      <name val="B Nazanin"/>
      <charset val="178"/>
    </font>
    <font>
      <sz val="10"/>
      <color theme="1" tint="0.14999847407452621"/>
      <name val="Times New Roman"/>
      <family val="1"/>
    </font>
    <font>
      <sz val="10"/>
      <color theme="0"/>
      <name val="Times New Roman"/>
      <family val="1"/>
    </font>
    <font>
      <b/>
      <sz val="11"/>
      <color theme="1" tint="0.14999847407452621"/>
      <name val="B Nazanin"/>
      <charset val="178"/>
    </font>
    <font>
      <sz val="11"/>
      <color theme="0"/>
      <name val="IRNazanin"/>
      <family val="1"/>
    </font>
    <font>
      <sz val="11"/>
      <color theme="0"/>
      <name val="Sylfaen"/>
      <family val="1"/>
    </font>
    <font>
      <sz val="9.9"/>
      <color theme="0"/>
      <name val="IRNazanin"/>
    </font>
    <font>
      <sz val="12"/>
      <color theme="0"/>
      <name val="Times New Roman"/>
      <family val="1"/>
    </font>
    <font>
      <vertAlign val="subscript"/>
      <sz val="12"/>
      <color theme="0"/>
      <name val="Times New Roman"/>
      <family val="1"/>
    </font>
    <font>
      <sz val="12"/>
      <color theme="0"/>
      <name val="Calibri"/>
      <family val="2"/>
      <scheme val="minor"/>
    </font>
    <font>
      <vertAlign val="subscript"/>
      <sz val="12"/>
      <color theme="0"/>
      <name val="B Nazanin"/>
      <charset val="178"/>
    </font>
    <font>
      <sz val="8"/>
      <color theme="0"/>
      <name val="Sylfaen"/>
      <family val="1"/>
    </font>
    <font>
      <sz val="8"/>
      <color theme="0"/>
      <name val="Times New Roman"/>
      <family val="1"/>
    </font>
    <font>
      <vertAlign val="subscript"/>
      <sz val="8"/>
      <color theme="0"/>
      <name val="Times New Roman"/>
      <family val="1"/>
    </font>
    <font>
      <sz val="11"/>
      <color theme="0"/>
      <name val="Artifakt Element"/>
      <family val="2"/>
    </font>
    <font>
      <b/>
      <sz val="14"/>
      <color theme="0"/>
      <name val="IRNazanin"/>
    </font>
    <font>
      <b/>
      <sz val="11"/>
      <color theme="0"/>
      <name val="IRNazanin"/>
    </font>
    <font>
      <b/>
      <sz val="12"/>
      <color theme="0"/>
      <name val="IRNazanin"/>
    </font>
    <font>
      <sz val="9.9"/>
      <color theme="0"/>
      <name val="Times New Roman"/>
      <family val="1"/>
    </font>
    <font>
      <b/>
      <sz val="14"/>
      <color theme="0"/>
      <name val="Times New Roman"/>
      <family val="1"/>
    </font>
    <font>
      <b/>
      <vertAlign val="subscript"/>
      <sz val="14"/>
      <color theme="0"/>
      <name val="Times New Roman"/>
      <family val="1"/>
    </font>
    <font>
      <sz val="11"/>
      <color theme="0"/>
      <name val="Calibri"/>
      <family val="2"/>
    </font>
    <font>
      <vertAlign val="subscript"/>
      <sz val="10"/>
      <color theme="0"/>
      <name val="Times New Roman"/>
      <family val="1"/>
    </font>
    <font>
      <sz val="10"/>
      <color theme="0"/>
      <name val="Artifakt Element"/>
      <family val="2"/>
    </font>
    <font>
      <sz val="11"/>
      <color theme="1"/>
      <name val="Times New Roman"/>
      <family val="1"/>
    </font>
    <font>
      <b/>
      <sz val="11"/>
      <color theme="1"/>
      <name val="B Nazanin"/>
      <charset val="178"/>
    </font>
    <font>
      <sz val="12"/>
      <color theme="1"/>
      <name val="Calibri"/>
      <family val="2"/>
      <charset val="178"/>
    </font>
    <font>
      <b/>
      <sz val="18"/>
      <color theme="0"/>
      <name val="B Nazanin"/>
      <charset val="178"/>
    </font>
    <font>
      <b/>
      <sz val="10"/>
      <color theme="3" tint="0.39997558519241921"/>
      <name val="Times New Roman"/>
      <family val="1"/>
    </font>
    <font>
      <b/>
      <sz val="12"/>
      <color rgb="FFC00000"/>
      <name val="Times New Roman"/>
      <family val="1"/>
    </font>
    <font>
      <b/>
      <sz val="12"/>
      <color rgb="FFC00000"/>
      <name val="Cambria"/>
      <family val="1"/>
      <scheme val="major"/>
    </font>
    <font>
      <b/>
      <sz val="11"/>
      <name val="IRNazanin"/>
    </font>
    <font>
      <b/>
      <sz val="20"/>
      <name val="IRNazanin"/>
    </font>
    <font>
      <b/>
      <u/>
      <sz val="11"/>
      <name val="IRNazanin"/>
    </font>
    <font>
      <b/>
      <sz val="11"/>
      <name val="Calibri"/>
      <family val="2"/>
      <scheme val="minor"/>
    </font>
    <font>
      <sz val="12"/>
      <color rgb="FFFF0000"/>
      <name val="B Nazanin"/>
      <charset val="178"/>
    </font>
    <font>
      <b/>
      <sz val="14"/>
      <color rgb="FFFF0000"/>
      <name val="B Nazanin"/>
      <charset val="178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4"/>
      <color rgb="FFFF0000"/>
      <name val="IRNazanin"/>
    </font>
    <font>
      <sz val="12"/>
      <color rgb="FFFF0000"/>
      <name val="Cambria"/>
      <family val="1"/>
      <scheme val="major"/>
    </font>
    <font>
      <b/>
      <sz val="11"/>
      <color rgb="FFFF0000"/>
      <name val="IRNazanin"/>
    </font>
    <font>
      <sz val="14"/>
      <color rgb="FFFF0000"/>
      <name val="B Nazanin"/>
      <charset val="178"/>
    </font>
    <font>
      <sz val="10"/>
      <color rgb="FFFF0000"/>
      <name val="B Nazanin"/>
      <charset val="178"/>
    </font>
    <font>
      <sz val="10"/>
      <color rgb="FFFF0000"/>
      <name val="Times New Roman"/>
      <family val="1"/>
    </font>
    <font>
      <b/>
      <sz val="10"/>
      <color rgb="FFFF0000"/>
      <name val="B Nazanin"/>
      <charset val="178"/>
    </font>
    <font>
      <sz val="12"/>
      <color rgb="FFFF0000"/>
      <name val="IRNazanin"/>
    </font>
    <font>
      <sz val="11"/>
      <name val="Artifakt Element"/>
      <family val="2"/>
    </font>
    <font>
      <vertAlign val="subscript"/>
      <sz val="12"/>
      <name val="Times New Roman"/>
      <family val="1"/>
    </font>
    <font>
      <vertAlign val="subscript"/>
      <sz val="10"/>
      <name val="Times New Roman"/>
      <family val="1"/>
    </font>
    <font>
      <sz val="10"/>
      <name val="Artifakt Element"/>
      <family val="2"/>
    </font>
    <font>
      <sz val="9"/>
      <name val="Times New Roman"/>
      <family val="1"/>
    </font>
    <font>
      <sz val="14"/>
      <color theme="1"/>
      <name val="B Nazanin"/>
      <charset val="178"/>
    </font>
    <font>
      <b/>
      <sz val="18"/>
      <name val="B Nazanin"/>
      <charset val="178"/>
    </font>
    <font>
      <b/>
      <sz val="18"/>
      <color theme="0"/>
      <name val="Times New Roman"/>
      <family val="1"/>
    </font>
    <font>
      <sz val="14"/>
      <color theme="1"/>
      <name val="Calibri"/>
      <family val="2"/>
      <scheme val="minor"/>
    </font>
    <font>
      <sz val="18"/>
      <color theme="0"/>
      <name val="B Nazanin"/>
      <charset val="178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/>
        <bgColor indexed="64"/>
      </patternFill>
    </fill>
    <fill>
      <gradientFill degree="90">
        <stop position="0">
          <color theme="0"/>
        </stop>
        <stop position="1">
          <color theme="4" tint="0.80001220740379042"/>
        </stop>
      </gradientFill>
    </fill>
    <fill>
      <gradientFill degree="90">
        <stop position="0">
          <color theme="0"/>
        </stop>
        <stop position="1">
          <color theme="4" tint="0.40000610370189521"/>
        </stop>
      </gradientFill>
    </fill>
    <fill>
      <patternFill patternType="solid">
        <fgColor theme="9" tint="0.59999389629810485"/>
        <bgColor indexed="64"/>
      </patternFill>
    </fill>
    <fill>
      <gradientFill degree="90">
        <stop position="0">
          <color theme="0"/>
        </stop>
        <stop position="1">
          <color theme="6" tint="0.59999389629810485"/>
        </stop>
      </gradientFill>
    </fill>
    <fill>
      <patternFill patternType="solid">
        <fgColor theme="6" tint="0.59999389629810485"/>
        <bgColor indexed="64"/>
      </patternFill>
    </fill>
    <fill>
      <patternFill patternType="solid">
        <fgColor theme="4" tint="-0.499984740745262"/>
        <bgColor auto="1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auto="1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AB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5F5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111">
    <border>
      <left/>
      <right/>
      <top/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medium">
        <color theme="0"/>
      </bottom>
      <diagonal/>
    </border>
    <border>
      <left style="medium">
        <color theme="0"/>
      </left>
      <right/>
      <top/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/>
      <bottom style="medium">
        <color theme="0"/>
      </bottom>
      <diagonal/>
    </border>
    <border>
      <left/>
      <right style="medium">
        <color theme="3" tint="-0.499984740745262"/>
      </right>
      <top/>
      <bottom style="medium">
        <color theme="0"/>
      </bottom>
      <diagonal/>
    </border>
    <border>
      <left/>
      <right/>
      <top style="thin">
        <color theme="3" tint="-0.499984740745262"/>
      </top>
      <bottom style="thin">
        <color theme="3" tint="-0.499984740745262"/>
      </bottom>
      <diagonal/>
    </border>
    <border>
      <left/>
      <right/>
      <top style="thin">
        <color theme="0"/>
      </top>
      <bottom style="thin">
        <color theme="3" tint="-0.499984740745262"/>
      </bottom>
      <diagonal/>
    </border>
    <border>
      <left/>
      <right/>
      <top style="thick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/>
      <top/>
      <bottom style="thin">
        <color theme="3" tint="-0.499984740745262"/>
      </bottom>
      <diagonal/>
    </border>
    <border>
      <left/>
      <right/>
      <top style="medium">
        <color theme="0"/>
      </top>
      <bottom style="thick">
        <color theme="0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thin">
        <color theme="0"/>
      </left>
      <right/>
      <top style="thin">
        <color theme="0"/>
      </top>
      <bottom style="medium">
        <color theme="3" tint="-0.499984740745262"/>
      </bottom>
      <diagonal/>
    </border>
    <border>
      <left/>
      <right/>
      <top style="thin">
        <color theme="0"/>
      </top>
      <bottom style="medium">
        <color theme="3" tint="-0.499984740745262"/>
      </bottom>
      <diagonal/>
    </border>
    <border>
      <left/>
      <right style="thin">
        <color theme="0"/>
      </right>
      <top style="thin">
        <color theme="0"/>
      </top>
      <bottom style="medium">
        <color theme="3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3" tint="-0.499984740745262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3" tint="-0.499984740745262"/>
      </top>
      <bottom/>
      <diagonal/>
    </border>
    <border>
      <left/>
      <right/>
      <top/>
      <bottom style="thick">
        <color theme="0"/>
      </bottom>
      <diagonal/>
    </border>
    <border>
      <left style="medium">
        <color theme="0"/>
      </left>
      <right/>
      <top style="thin">
        <color theme="0"/>
      </top>
      <bottom/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0"/>
      </top>
      <bottom/>
      <diagonal/>
    </border>
    <border>
      <left/>
      <right style="medium">
        <color theme="3"/>
      </right>
      <top style="medium">
        <color theme="0"/>
      </top>
      <bottom/>
      <diagonal/>
    </border>
    <border>
      <left style="medium">
        <color theme="3"/>
      </left>
      <right style="thin">
        <color theme="0"/>
      </right>
      <top/>
      <bottom style="thin">
        <color theme="0"/>
      </bottom>
      <diagonal/>
    </border>
    <border>
      <left style="medium">
        <color theme="3"/>
      </left>
      <right/>
      <top style="medium">
        <color theme="3" tint="-0.499984740745262"/>
      </top>
      <bottom/>
      <diagonal/>
    </border>
    <border>
      <left/>
      <right style="medium">
        <color theme="3"/>
      </right>
      <top style="medium">
        <color theme="3" tint="-0.499984740745262"/>
      </top>
      <bottom/>
      <diagonal/>
    </border>
    <border>
      <left style="medium">
        <color theme="3"/>
      </left>
      <right/>
      <top/>
      <bottom style="thin">
        <color theme="3" tint="-0.499984740745262"/>
      </bottom>
      <diagonal/>
    </border>
    <border>
      <left/>
      <right style="medium">
        <color theme="3"/>
      </right>
      <top/>
      <bottom style="thin">
        <color theme="3" tint="-0.499984740745262"/>
      </bottom>
      <diagonal/>
    </border>
    <border>
      <left style="medium">
        <color theme="3"/>
      </left>
      <right/>
      <top/>
      <bottom style="medium">
        <color theme="0"/>
      </bottom>
      <diagonal/>
    </border>
    <border>
      <left/>
      <right style="medium">
        <color theme="3"/>
      </right>
      <top/>
      <bottom style="medium">
        <color theme="0"/>
      </bottom>
      <diagonal/>
    </border>
    <border>
      <left/>
      <right style="medium">
        <color theme="3"/>
      </right>
      <top style="thin">
        <color theme="0"/>
      </top>
      <bottom style="thin">
        <color theme="0"/>
      </bottom>
      <diagonal/>
    </border>
    <border>
      <left/>
      <right/>
      <top style="thin">
        <color theme="3"/>
      </top>
      <bottom/>
      <diagonal/>
    </border>
    <border>
      <left style="medium">
        <color theme="3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3"/>
      </right>
      <top style="thin">
        <color theme="0"/>
      </top>
      <bottom style="thin">
        <color theme="0"/>
      </bottom>
      <diagonal/>
    </border>
    <border>
      <left style="medium">
        <color theme="3"/>
      </left>
      <right style="thin">
        <color theme="0"/>
      </right>
      <top style="thin">
        <color theme="0"/>
      </top>
      <bottom/>
      <diagonal/>
    </border>
    <border>
      <left style="medium">
        <color theme="3"/>
      </left>
      <right style="thin">
        <color theme="0"/>
      </right>
      <top/>
      <bottom/>
      <diagonal/>
    </border>
    <border>
      <left style="medium">
        <color theme="3"/>
      </left>
      <right style="thin">
        <color theme="0"/>
      </right>
      <top style="thin">
        <color theme="0"/>
      </top>
      <bottom style="medium">
        <color theme="3" tint="-0.499984740745262"/>
      </bottom>
      <diagonal/>
    </border>
    <border>
      <left/>
      <right style="medium">
        <color theme="3"/>
      </right>
      <top style="thin">
        <color theme="0"/>
      </top>
      <bottom style="medium">
        <color theme="3" tint="-0.499984740745262"/>
      </bottom>
      <diagonal/>
    </border>
    <border>
      <left style="medium">
        <color theme="3"/>
      </left>
      <right style="medium">
        <color theme="0"/>
      </right>
      <top/>
      <bottom/>
      <diagonal/>
    </border>
    <border>
      <left style="medium">
        <color theme="3"/>
      </left>
      <right/>
      <top style="thin">
        <color theme="3" tint="-0.499984740745262"/>
      </top>
      <bottom style="thin">
        <color theme="3" tint="-0.499984740745262"/>
      </bottom>
      <diagonal/>
    </border>
    <border>
      <left/>
      <right style="medium">
        <color theme="3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/>
      </left>
      <right/>
      <top/>
      <bottom style="thin">
        <color theme="0"/>
      </bottom>
      <diagonal/>
    </border>
    <border>
      <left/>
      <right style="medium">
        <color theme="3"/>
      </right>
      <top/>
      <bottom style="thin">
        <color theme="0"/>
      </bottom>
      <diagonal/>
    </border>
    <border>
      <left style="medium">
        <color theme="3"/>
      </left>
      <right/>
      <top style="thin">
        <color theme="0"/>
      </top>
      <bottom/>
      <diagonal/>
    </border>
    <border>
      <left/>
      <right style="medium">
        <color theme="3"/>
      </right>
      <top style="thin">
        <color theme="0"/>
      </top>
      <bottom/>
      <diagonal/>
    </border>
    <border>
      <left style="medium">
        <color theme="3"/>
      </left>
      <right/>
      <top/>
      <bottom style="medium">
        <color theme="3" tint="-0.499984740745262"/>
      </bottom>
      <diagonal/>
    </border>
    <border>
      <left/>
      <right style="medium">
        <color theme="3"/>
      </right>
      <top/>
      <bottom style="medium">
        <color theme="3" tint="-0.499984740745262"/>
      </bottom>
      <diagonal/>
    </border>
    <border>
      <left style="medium">
        <color theme="3"/>
      </left>
      <right/>
      <top style="thin">
        <color theme="3"/>
      </top>
      <bottom/>
      <diagonal/>
    </border>
    <border>
      <left/>
      <right style="medium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medium">
        <color theme="3"/>
      </left>
      <right style="thin">
        <color theme="3"/>
      </right>
      <top style="medium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medium">
        <color theme="3"/>
      </top>
      <bottom style="thin">
        <color theme="3"/>
      </bottom>
      <diagonal/>
    </border>
    <border>
      <left style="thin">
        <color theme="3"/>
      </left>
      <right style="medium">
        <color theme="3"/>
      </right>
      <top style="medium">
        <color theme="3"/>
      </top>
      <bottom style="thin">
        <color theme="3"/>
      </bottom>
      <diagonal/>
    </border>
    <border>
      <left style="medium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medium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medium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 style="medium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medium">
        <color theme="3"/>
      </right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 style="thin">
        <color theme="3"/>
      </right>
      <top/>
      <bottom style="thin">
        <color theme="3"/>
      </bottom>
      <diagonal/>
    </border>
    <border>
      <left style="medium">
        <color theme="3"/>
      </left>
      <right/>
      <top style="thin">
        <color theme="3"/>
      </top>
      <bottom style="thin">
        <color theme="3"/>
      </bottom>
      <diagonal/>
    </border>
    <border>
      <left style="medium">
        <color theme="3"/>
      </left>
      <right/>
      <top style="thin">
        <color theme="3"/>
      </top>
      <bottom style="medium">
        <color theme="3"/>
      </bottom>
      <diagonal/>
    </border>
    <border>
      <left/>
      <right style="thin">
        <color theme="3"/>
      </right>
      <top/>
      <bottom style="medium">
        <color theme="3"/>
      </bottom>
      <diagonal/>
    </border>
    <border>
      <left style="medium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/>
      <top style="thin">
        <color theme="3"/>
      </top>
      <bottom style="medium">
        <color theme="3"/>
      </bottom>
      <diagonal/>
    </border>
    <border>
      <left/>
      <right style="medium">
        <color theme="3"/>
      </right>
      <top style="thin">
        <color theme="3"/>
      </top>
      <bottom style="thin">
        <color theme="3"/>
      </bottom>
      <diagonal/>
    </border>
    <border>
      <left/>
      <right style="medium">
        <color theme="3"/>
      </right>
      <top style="thin">
        <color theme="3"/>
      </top>
      <bottom style="medium">
        <color theme="3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933">
    <xf numFmtId="0" fontId="0" fillId="0" borderId="0" xfId="0"/>
    <xf numFmtId="0" fontId="35" fillId="0" borderId="0" xfId="1" applyFont="1" applyFill="1" applyBorder="1" applyAlignment="1" applyProtection="1">
      <alignment vertical="center" shrinkToFit="1"/>
    </xf>
    <xf numFmtId="0" fontId="6" fillId="2" borderId="19" xfId="0" applyFont="1" applyFill="1" applyBorder="1" applyAlignment="1">
      <alignment horizontal="center" vertical="center" shrinkToFit="1"/>
    </xf>
    <xf numFmtId="0" fontId="6" fillId="2" borderId="20" xfId="0" applyFont="1" applyFill="1" applyBorder="1" applyAlignment="1">
      <alignment horizontal="right" vertical="center" shrinkToFit="1"/>
    </xf>
    <xf numFmtId="0" fontId="6" fillId="2" borderId="20" xfId="0" applyFont="1" applyFill="1" applyBorder="1" applyAlignment="1">
      <alignment horizontal="center" vertical="center" shrinkToFit="1"/>
    </xf>
    <xf numFmtId="0" fontId="6" fillId="2" borderId="21" xfId="0" applyFont="1" applyFill="1" applyBorder="1" applyAlignment="1">
      <alignment horizontal="center" vertical="center" shrinkToFit="1"/>
    </xf>
    <xf numFmtId="0" fontId="12" fillId="0" borderId="0" xfId="0" applyFont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6" fillId="2" borderId="22" xfId="0" applyFont="1" applyFill="1" applyBorder="1" applyAlignment="1">
      <alignment horizontal="center" vertical="center" shrinkToFit="1"/>
    </xf>
    <xf numFmtId="0" fontId="6" fillId="2" borderId="23" xfId="0" applyFont="1" applyFill="1" applyBorder="1" applyAlignment="1">
      <alignment horizontal="center" vertical="center" shrinkToFit="1"/>
    </xf>
    <xf numFmtId="0" fontId="6" fillId="2" borderId="36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right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5" fillId="5" borderId="19" xfId="0" applyFont="1" applyFill="1" applyBorder="1" applyAlignment="1">
      <alignment vertical="center" shrinkToFit="1"/>
    </xf>
    <xf numFmtId="0" fontId="5" fillId="5" borderId="20" xfId="0" applyFont="1" applyFill="1" applyBorder="1" applyAlignment="1">
      <alignment vertical="center" shrinkToFit="1"/>
    </xf>
    <xf numFmtId="0" fontId="5" fillId="5" borderId="21" xfId="0" applyFont="1" applyFill="1" applyBorder="1" applyAlignment="1">
      <alignment vertical="center" shrinkToFit="1"/>
    </xf>
    <xf numFmtId="0" fontId="13" fillId="5" borderId="23" xfId="0" applyFont="1" applyFill="1" applyBorder="1" applyAlignment="1">
      <alignment vertical="center" shrinkToFit="1"/>
    </xf>
    <xf numFmtId="0" fontId="29" fillId="0" borderId="0" xfId="0" applyFont="1" applyAlignment="1">
      <alignment horizontal="center" vertical="center" shrinkToFit="1"/>
    </xf>
    <xf numFmtId="0" fontId="6" fillId="5" borderId="22" xfId="0" applyFont="1" applyFill="1" applyBorder="1" applyAlignment="1">
      <alignment horizontal="center" vertical="center" shrinkToFit="1"/>
    </xf>
    <xf numFmtId="0" fontId="29" fillId="0" borderId="0" xfId="0" applyFont="1" applyAlignment="1">
      <alignment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15" fillId="5" borderId="23" xfId="0" applyFont="1" applyFill="1" applyBorder="1" applyAlignment="1">
      <alignment wrapText="1" shrinkToFit="1"/>
    </xf>
    <xf numFmtId="0" fontId="4" fillId="0" borderId="0" xfId="0" applyFont="1" applyAlignment="1">
      <alignment vertical="center" shrinkToFit="1"/>
    </xf>
    <xf numFmtId="0" fontId="6" fillId="5" borderId="24" xfId="0" applyFont="1" applyFill="1" applyBorder="1" applyAlignment="1">
      <alignment horizontal="center" vertical="center" shrinkToFit="1"/>
    </xf>
    <xf numFmtId="0" fontId="6" fillId="5" borderId="4" xfId="0" applyFont="1" applyFill="1" applyBorder="1" applyAlignment="1">
      <alignment horizontal="right" vertical="center" shrinkToFit="1"/>
    </xf>
    <xf numFmtId="0" fontId="6" fillId="5" borderId="4" xfId="0" applyFont="1" applyFill="1" applyBorder="1" applyAlignment="1">
      <alignment horizontal="center" vertical="center" shrinkToFit="1"/>
    </xf>
    <xf numFmtId="0" fontId="15" fillId="5" borderId="4" xfId="0" applyFont="1" applyFill="1" applyBorder="1" applyAlignment="1">
      <alignment wrapText="1" shrinkToFit="1"/>
    </xf>
    <xf numFmtId="0" fontId="15" fillId="5" borderId="25" xfId="0" applyFont="1" applyFill="1" applyBorder="1" applyAlignment="1">
      <alignment wrapText="1" shrinkToFit="1"/>
    </xf>
    <xf numFmtId="0" fontId="36" fillId="0" borderId="0" xfId="0" applyFont="1" applyAlignment="1">
      <alignment vertical="center" shrinkToFit="1"/>
    </xf>
    <xf numFmtId="0" fontId="6" fillId="7" borderId="12" xfId="0" applyFont="1" applyFill="1" applyBorder="1" applyAlignment="1">
      <alignment horizontal="right" vertical="center" shrinkToFit="1"/>
    </xf>
    <xf numFmtId="0" fontId="6" fillId="7" borderId="13" xfId="0" applyFont="1" applyFill="1" applyBorder="1" applyAlignment="1">
      <alignment vertical="center" shrinkToFit="1"/>
    </xf>
    <xf numFmtId="0" fontId="6" fillId="7" borderId="13" xfId="0" applyFont="1" applyFill="1" applyBorder="1" applyAlignment="1">
      <alignment horizontal="center" vertical="center" shrinkToFit="1"/>
    </xf>
    <xf numFmtId="0" fontId="6" fillId="7" borderId="13" xfId="0" applyFont="1" applyFill="1" applyBorder="1" applyAlignment="1">
      <alignment horizontal="right" vertical="center" shrinkToFit="1"/>
    </xf>
    <xf numFmtId="0" fontId="6" fillId="7" borderId="12" xfId="0" applyFont="1" applyFill="1" applyBorder="1" applyAlignment="1">
      <alignment horizontal="center" vertical="center" shrinkToFit="1"/>
    </xf>
    <xf numFmtId="0" fontId="6" fillId="6" borderId="13" xfId="0" applyFont="1" applyFill="1" applyBorder="1" applyAlignment="1">
      <alignment vertical="center" shrinkToFit="1"/>
    </xf>
    <xf numFmtId="0" fontId="7" fillId="7" borderId="13" xfId="0" applyFont="1" applyFill="1" applyBorder="1" applyAlignment="1">
      <alignment vertical="center" shrinkToFit="1"/>
    </xf>
    <xf numFmtId="2" fontId="6" fillId="7" borderId="13" xfId="0" applyNumberFormat="1" applyFont="1" applyFill="1" applyBorder="1" applyAlignment="1">
      <alignment horizontal="center" vertical="center" shrinkToFit="1"/>
    </xf>
    <xf numFmtId="164" fontId="6" fillId="7" borderId="13" xfId="0" applyNumberFormat="1" applyFont="1" applyFill="1" applyBorder="1" applyAlignment="1">
      <alignment horizontal="right" vertical="center" shrinkToFit="1"/>
    </xf>
    <xf numFmtId="0" fontId="6" fillId="7" borderId="39" xfId="0" applyFont="1" applyFill="1" applyBorder="1" applyAlignment="1">
      <alignment horizontal="left" vertical="center" shrinkToFit="1"/>
    </xf>
    <xf numFmtId="0" fontId="6" fillId="7" borderId="40" xfId="0" applyFont="1" applyFill="1" applyBorder="1" applyAlignment="1">
      <alignment horizontal="left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8" borderId="4" xfId="0" applyFont="1" applyFill="1" applyBorder="1" applyAlignment="1">
      <alignment vertical="center" shrinkToFit="1"/>
    </xf>
    <xf numFmtId="0" fontId="6" fillId="8" borderId="6" xfId="0" applyFont="1" applyFill="1" applyBorder="1" applyAlignment="1">
      <alignment vertical="center" shrinkToFit="1"/>
    </xf>
    <xf numFmtId="2" fontId="19" fillId="8" borderId="6" xfId="0" applyNumberFormat="1" applyFont="1" applyFill="1" applyBorder="1" applyAlignment="1">
      <alignment vertical="center" shrinkToFit="1"/>
    </xf>
    <xf numFmtId="0" fontId="8" fillId="8" borderId="6" xfId="0" applyFont="1" applyFill="1" applyBorder="1" applyAlignment="1">
      <alignment shrinkToFit="1"/>
    </xf>
    <xf numFmtId="0" fontId="6" fillId="8" borderId="6" xfId="0" applyFont="1" applyFill="1" applyBorder="1" applyAlignment="1">
      <alignment shrinkToFit="1"/>
    </xf>
    <xf numFmtId="0" fontId="6" fillId="8" borderId="31" xfId="0" applyFont="1" applyFill="1" applyBorder="1" applyAlignment="1">
      <alignment vertical="center" shrinkToFit="1"/>
    </xf>
    <xf numFmtId="0" fontId="6" fillId="8" borderId="2" xfId="0" applyFont="1" applyFill="1" applyBorder="1" applyAlignment="1">
      <alignment horizontal="center" vertical="center" shrinkToFit="1"/>
    </xf>
    <xf numFmtId="0" fontId="6" fillId="8" borderId="4" xfId="0" applyFont="1" applyFill="1" applyBorder="1" applyAlignment="1">
      <alignment horizontal="center" vertical="center" shrinkToFit="1"/>
    </xf>
    <xf numFmtId="0" fontId="1" fillId="8" borderId="4" xfId="0" applyFont="1" applyFill="1" applyBorder="1"/>
    <xf numFmtId="0" fontId="6" fillId="8" borderId="4" xfId="0" applyFont="1" applyFill="1" applyBorder="1" applyAlignment="1">
      <alignment shrinkToFit="1"/>
    </xf>
    <xf numFmtId="0" fontId="6" fillId="8" borderId="5" xfId="0" applyFont="1" applyFill="1" applyBorder="1" applyAlignment="1">
      <alignment horizontal="center" vertical="center" shrinkToFit="1"/>
    </xf>
    <xf numFmtId="0" fontId="6" fillId="13" borderId="6" xfId="0" applyFont="1" applyFill="1" applyBorder="1" applyAlignment="1">
      <alignment horizontal="center" vertical="center" shrinkToFit="1"/>
    </xf>
    <xf numFmtId="2" fontId="4" fillId="13" borderId="6" xfId="0" applyNumberFormat="1" applyFont="1" applyFill="1" applyBorder="1" applyAlignment="1">
      <alignment vertical="center" shrinkToFit="1"/>
    </xf>
    <xf numFmtId="165" fontId="4" fillId="13" borderId="6" xfId="0" applyNumberFormat="1" applyFont="1" applyFill="1" applyBorder="1" applyAlignment="1">
      <alignment horizontal="center" vertical="center" shrinkToFit="1"/>
    </xf>
    <xf numFmtId="164" fontId="29" fillId="13" borderId="6" xfId="0" applyNumberFormat="1" applyFont="1" applyFill="1" applyBorder="1" applyAlignment="1">
      <alignment vertical="center"/>
    </xf>
    <xf numFmtId="0" fontId="6" fillId="13" borderId="6" xfId="0" applyFont="1" applyFill="1" applyBorder="1" applyAlignment="1">
      <alignment shrinkToFit="1"/>
    </xf>
    <xf numFmtId="0" fontId="6" fillId="13" borderId="31" xfId="0" applyFont="1" applyFill="1" applyBorder="1" applyAlignment="1">
      <alignment horizontal="center" vertical="center" shrinkToFit="1"/>
    </xf>
    <xf numFmtId="0" fontId="6" fillId="13" borderId="4" xfId="0" applyFont="1" applyFill="1" applyBorder="1" applyAlignment="1">
      <alignment horizontal="center" vertical="center" shrinkToFit="1"/>
    </xf>
    <xf numFmtId="2" fontId="29" fillId="13" borderId="4" xfId="0" applyNumberFormat="1" applyFont="1" applyFill="1" applyBorder="1" applyAlignment="1">
      <alignment vertical="center" shrinkToFit="1"/>
    </xf>
    <xf numFmtId="2" fontId="4" fillId="13" borderId="4" xfId="0" applyNumberFormat="1" applyFont="1" applyFill="1" applyBorder="1" applyAlignment="1">
      <alignment vertical="center" shrinkToFit="1"/>
    </xf>
    <xf numFmtId="165" fontId="4" fillId="13" borderId="4" xfId="0" applyNumberFormat="1" applyFont="1" applyFill="1" applyBorder="1" applyAlignment="1">
      <alignment horizontal="center" vertical="center" shrinkToFit="1"/>
    </xf>
    <xf numFmtId="165" fontId="4" fillId="13" borderId="4" xfId="0" applyNumberFormat="1" applyFont="1" applyFill="1" applyBorder="1" applyAlignment="1">
      <alignment vertical="center" shrinkToFit="1"/>
    </xf>
    <xf numFmtId="164" fontId="29" fillId="13" borderId="4" xfId="0" applyNumberFormat="1" applyFont="1" applyFill="1" applyBorder="1" applyAlignment="1">
      <alignment vertical="center"/>
    </xf>
    <xf numFmtId="0" fontId="6" fillId="13" borderId="4" xfId="0" applyFont="1" applyFill="1" applyBorder="1" applyAlignment="1">
      <alignment shrinkToFit="1"/>
    </xf>
    <xf numFmtId="0" fontId="6" fillId="13" borderId="5" xfId="0" applyFont="1" applyFill="1" applyBorder="1" applyAlignment="1">
      <alignment horizontal="center" vertical="center" shrinkToFit="1"/>
    </xf>
    <xf numFmtId="0" fontId="4" fillId="13" borderId="6" xfId="0" applyFont="1" applyFill="1" applyBorder="1" applyAlignment="1">
      <alignment vertical="center" shrinkToFit="1"/>
    </xf>
    <xf numFmtId="0" fontId="4" fillId="13" borderId="6" xfId="0" applyFont="1" applyFill="1" applyBorder="1" applyAlignment="1">
      <alignment horizontal="center" vertical="center" shrinkToFit="1"/>
    </xf>
    <xf numFmtId="0" fontId="1" fillId="13" borderId="6" xfId="0" applyFont="1" applyFill="1" applyBorder="1"/>
    <xf numFmtId="0" fontId="4" fillId="13" borderId="4" xfId="0" applyFont="1" applyFill="1" applyBorder="1" applyAlignment="1">
      <alignment vertical="center" shrinkToFit="1"/>
    </xf>
    <xf numFmtId="0" fontId="4" fillId="13" borderId="4" xfId="0" applyFont="1" applyFill="1" applyBorder="1" applyAlignment="1">
      <alignment horizontal="center" vertical="center" shrinkToFit="1"/>
    </xf>
    <xf numFmtId="0" fontId="1" fillId="13" borderId="4" xfId="0" applyFont="1" applyFill="1" applyBorder="1"/>
    <xf numFmtId="0" fontId="6" fillId="13" borderId="1" xfId="0" applyFont="1" applyFill="1" applyBorder="1" applyAlignment="1">
      <alignment horizontal="center" vertical="center" shrinkToFit="1"/>
    </xf>
    <xf numFmtId="0" fontId="6" fillId="0" borderId="0" xfId="0" applyFont="1" applyAlignment="1">
      <alignment horizontal="right" vertical="center" shrinkToFit="1"/>
    </xf>
    <xf numFmtId="0" fontId="40" fillId="0" borderId="0" xfId="0" applyFont="1" applyAlignment="1">
      <alignment horizontal="center" vertical="center" shrinkToFit="1"/>
    </xf>
    <xf numFmtId="166" fontId="40" fillId="0" borderId="0" xfId="0" applyNumberFormat="1" applyFont="1" applyAlignment="1">
      <alignment horizontal="center" vertical="center" shrinkToFit="1"/>
    </xf>
    <xf numFmtId="2" fontId="40" fillId="0" borderId="0" xfId="0" applyNumberFormat="1" applyFont="1" applyAlignment="1">
      <alignment horizontal="center" vertical="center" shrinkToFit="1"/>
    </xf>
    <xf numFmtId="0" fontId="14" fillId="0" borderId="0" xfId="0" applyFont="1" applyAlignment="1">
      <alignment vertical="center" shrinkToFit="1"/>
    </xf>
    <xf numFmtId="0" fontId="40" fillId="0" borderId="0" xfId="0" applyFont="1" applyAlignment="1">
      <alignment vertical="center" shrinkToFit="1"/>
    </xf>
    <xf numFmtId="0" fontId="40" fillId="0" borderId="0" xfId="0" applyFont="1" applyAlignment="1">
      <alignment horizontal="center" vertical="center" shrinkToFit="1" readingOrder="2"/>
    </xf>
    <xf numFmtId="0" fontId="40" fillId="0" borderId="0" xfId="0" applyFont="1" applyAlignment="1">
      <alignment horizontal="center" vertical="center" wrapText="1" shrinkToFit="1"/>
    </xf>
    <xf numFmtId="0" fontId="41" fillId="0" borderId="0" xfId="1" applyFont="1" applyFill="1" applyBorder="1" applyAlignment="1" applyProtection="1">
      <alignment vertical="center" shrinkToFit="1"/>
    </xf>
    <xf numFmtId="0" fontId="42" fillId="0" borderId="0" xfId="0" applyFont="1" applyAlignment="1">
      <alignment vertical="center" shrinkToFit="1"/>
    </xf>
    <xf numFmtId="0" fontId="14" fillId="0" borderId="22" xfId="0" applyFont="1" applyBorder="1" applyAlignment="1">
      <alignment vertical="center" shrinkToFit="1"/>
    </xf>
    <xf numFmtId="0" fontId="40" fillId="0" borderId="35" xfId="0" applyFont="1" applyBorder="1" applyAlignment="1">
      <alignment horizontal="center" vertical="center" shrinkToFit="1"/>
    </xf>
    <xf numFmtId="0" fontId="10" fillId="0" borderId="0" xfId="0" applyFont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10" fillId="0" borderId="0" xfId="0" applyFont="1" applyAlignment="1">
      <alignment vertical="center" shrinkToFit="1"/>
    </xf>
    <xf numFmtId="0" fontId="43" fillId="0" borderId="0" xfId="1" applyFont="1" applyFill="1" applyBorder="1" applyAlignment="1" applyProtection="1">
      <alignment vertical="center" shrinkToFit="1"/>
    </xf>
    <xf numFmtId="0" fontId="39" fillId="0" borderId="0" xfId="0" applyFont="1" applyAlignment="1">
      <alignment vertical="center" shrinkToFit="1"/>
    </xf>
    <xf numFmtId="0" fontId="33" fillId="0" borderId="0" xfId="0" applyFont="1" applyAlignment="1">
      <alignment horizontal="center" vertical="center" shrinkToFit="1"/>
    </xf>
    <xf numFmtId="0" fontId="11" fillId="0" borderId="0" xfId="0" applyFont="1" applyAlignment="1">
      <alignment vertical="center" shrinkToFit="1"/>
    </xf>
    <xf numFmtId="2" fontId="10" fillId="0" borderId="0" xfId="0" applyNumberFormat="1" applyFont="1" applyAlignment="1">
      <alignment vertical="center" shrinkToFit="1"/>
    </xf>
    <xf numFmtId="165" fontId="10" fillId="0" borderId="0" xfId="0" applyNumberFormat="1" applyFont="1" applyAlignment="1">
      <alignment horizontal="center" vertical="center" shrinkToFit="1"/>
    </xf>
    <xf numFmtId="0" fontId="29" fillId="0" borderId="0" xfId="0" applyFont="1" applyAlignment="1" applyProtection="1">
      <alignment horizontal="center" vertical="center" shrinkToFit="1"/>
      <protection locked="0"/>
    </xf>
    <xf numFmtId="166" fontId="4" fillId="0" borderId="0" xfId="0" applyNumberFormat="1" applyFont="1" applyAlignment="1" applyProtection="1">
      <alignment horizontal="center" vertical="center" shrinkToFit="1"/>
      <protection locked="0"/>
    </xf>
    <xf numFmtId="0" fontId="26" fillId="0" borderId="0" xfId="0" applyFont="1" applyAlignment="1">
      <alignment horizontal="center" vertical="center" shrinkToFit="1"/>
    </xf>
    <xf numFmtId="0" fontId="47" fillId="0" borderId="0" xfId="0" applyFont="1" applyAlignment="1">
      <alignment horizontal="center" vertical="center" shrinkToFit="1"/>
    </xf>
    <xf numFmtId="2" fontId="26" fillId="0" borderId="0" xfId="0" applyNumberFormat="1" applyFont="1" applyAlignment="1">
      <alignment vertical="center" shrinkToFit="1"/>
    </xf>
    <xf numFmtId="0" fontId="26" fillId="0" borderId="0" xfId="0" applyFont="1" applyAlignment="1">
      <alignment vertical="center" shrinkToFit="1"/>
    </xf>
    <xf numFmtId="2" fontId="45" fillId="2" borderId="34" xfId="0" applyNumberFormat="1" applyFont="1" applyFill="1" applyBorder="1" applyAlignment="1" applyProtection="1">
      <alignment horizontal="center" vertical="center" shrinkToFit="1"/>
      <protection locked="0"/>
    </xf>
    <xf numFmtId="166" fontId="45" fillId="16" borderId="34" xfId="0" applyNumberFormat="1" applyFont="1" applyFill="1" applyBorder="1" applyAlignment="1" applyProtection="1">
      <alignment horizontal="center" vertical="center" shrinkToFit="1"/>
      <protection locked="0"/>
    </xf>
    <xf numFmtId="2" fontId="45" fillId="17" borderId="34" xfId="0" applyNumberFormat="1" applyFont="1" applyFill="1" applyBorder="1" applyAlignment="1" applyProtection="1">
      <alignment horizontal="center" vertical="center" shrinkToFit="1"/>
      <protection locked="0"/>
    </xf>
    <xf numFmtId="166" fontId="45" fillId="10" borderId="34" xfId="0" applyNumberFormat="1" applyFont="1" applyFill="1" applyBorder="1" applyAlignment="1" applyProtection="1">
      <alignment horizontal="center" vertical="center" shrinkToFit="1"/>
      <protection locked="0"/>
    </xf>
    <xf numFmtId="0" fontId="15" fillId="0" borderId="0" xfId="0" applyFont="1" applyAlignment="1">
      <alignment wrapText="1" shrinkToFit="1"/>
    </xf>
    <xf numFmtId="0" fontId="6" fillId="8" borderId="59" xfId="0" applyFont="1" applyFill="1" applyBorder="1" applyAlignment="1">
      <alignment horizontal="center" vertical="center" shrinkToFit="1"/>
    </xf>
    <xf numFmtId="0" fontId="23" fillId="8" borderId="60" xfId="0" applyFont="1" applyFill="1" applyBorder="1" applyAlignment="1">
      <alignment vertical="center" shrinkToFit="1"/>
    </xf>
    <xf numFmtId="0" fontId="6" fillId="8" borderId="51" xfId="0" applyFont="1" applyFill="1" applyBorder="1" applyAlignment="1">
      <alignment horizontal="center" vertical="center" shrinkToFit="1"/>
    </xf>
    <xf numFmtId="0" fontId="6" fillId="8" borderId="0" xfId="0" applyFont="1" applyFill="1" applyAlignment="1">
      <alignment horizontal="center" vertical="center" shrinkToFit="1"/>
    </xf>
    <xf numFmtId="0" fontId="6" fillId="8" borderId="52" xfId="0" applyFont="1" applyFill="1" applyBorder="1" applyAlignment="1">
      <alignment horizontal="center" vertical="center" shrinkToFit="1"/>
    </xf>
    <xf numFmtId="0" fontId="6" fillId="8" borderId="51" xfId="0" applyFont="1" applyFill="1" applyBorder="1" applyAlignment="1">
      <alignment vertical="center" shrinkToFit="1"/>
    </xf>
    <xf numFmtId="0" fontId="6" fillId="8" borderId="0" xfId="0" applyFont="1" applyFill="1" applyAlignment="1">
      <alignment vertical="center" shrinkToFit="1"/>
    </xf>
    <xf numFmtId="0" fontId="6" fillId="8" borderId="52" xfId="0" applyFont="1" applyFill="1" applyBorder="1" applyAlignment="1">
      <alignment vertical="center" shrinkToFit="1"/>
    </xf>
    <xf numFmtId="0" fontId="21" fillId="8" borderId="51" xfId="0" applyFont="1" applyFill="1" applyBorder="1" applyAlignment="1">
      <alignment vertical="center" shrinkToFit="1"/>
    </xf>
    <xf numFmtId="0" fontId="25" fillId="8" borderId="0" xfId="0" applyFont="1" applyFill="1" applyAlignment="1">
      <alignment vertical="center" shrinkToFit="1"/>
    </xf>
    <xf numFmtId="0" fontId="25" fillId="8" borderId="52" xfId="0" applyFont="1" applyFill="1" applyBorder="1" applyAlignment="1">
      <alignment vertical="center" shrinkToFit="1"/>
    </xf>
    <xf numFmtId="0" fontId="21" fillId="13" borderId="51" xfId="0" applyFont="1" applyFill="1" applyBorder="1" applyAlignment="1">
      <alignment horizontal="left" vertical="center" shrinkToFit="1"/>
    </xf>
    <xf numFmtId="0" fontId="6" fillId="13" borderId="52" xfId="0" applyFont="1" applyFill="1" applyBorder="1" applyAlignment="1">
      <alignment horizontal="center" vertical="center" shrinkToFit="1"/>
    </xf>
    <xf numFmtId="0" fontId="6" fillId="13" borderId="0" xfId="0" applyFont="1" applyFill="1" applyAlignment="1">
      <alignment horizontal="center" vertical="center" shrinkToFit="1"/>
    </xf>
    <xf numFmtId="0" fontId="46" fillId="2" borderId="34" xfId="0" applyFont="1" applyFill="1" applyBorder="1" applyAlignment="1">
      <alignment horizontal="center" vertical="center" shrinkToFit="1"/>
    </xf>
    <xf numFmtId="0" fontId="46" fillId="16" borderId="34" xfId="0" applyFont="1" applyFill="1" applyBorder="1" applyAlignment="1">
      <alignment horizontal="center" vertical="center" shrinkToFit="1"/>
    </xf>
    <xf numFmtId="0" fontId="44" fillId="2" borderId="0" xfId="0" applyFont="1" applyFill="1" applyAlignment="1">
      <alignment horizontal="center" vertical="center" shrinkToFit="1"/>
    </xf>
    <xf numFmtId="0" fontId="45" fillId="16" borderId="0" xfId="0" applyFont="1" applyFill="1" applyAlignment="1">
      <alignment horizontal="center" vertical="center" shrinkToFit="1"/>
    </xf>
    <xf numFmtId="0" fontId="46" fillId="17" borderId="34" xfId="0" applyFont="1" applyFill="1" applyBorder="1" applyAlignment="1">
      <alignment horizontal="center" vertical="center" shrinkToFit="1"/>
    </xf>
    <xf numFmtId="0" fontId="46" fillId="10" borderId="34" xfId="0" applyFont="1" applyFill="1" applyBorder="1" applyAlignment="1">
      <alignment horizontal="center" vertical="center" shrinkToFit="1"/>
    </xf>
    <xf numFmtId="0" fontId="45" fillId="17" borderId="0" xfId="0" applyFont="1" applyFill="1" applyAlignment="1">
      <alignment horizontal="center" vertical="center" shrinkToFit="1"/>
    </xf>
    <xf numFmtId="0" fontId="45" fillId="10" borderId="0" xfId="0" applyFont="1" applyFill="1" applyAlignment="1">
      <alignment horizontal="center" vertical="center" shrinkToFit="1"/>
    </xf>
    <xf numFmtId="0" fontId="15" fillId="0" borderId="6" xfId="0" applyFont="1" applyBorder="1" applyAlignment="1">
      <alignment wrapText="1" shrinkToFit="1"/>
    </xf>
    <xf numFmtId="0" fontId="6" fillId="0" borderId="6" xfId="0" applyFont="1" applyBorder="1" applyAlignment="1">
      <alignment horizontal="center" vertical="center" shrinkToFit="1"/>
    </xf>
    <xf numFmtId="2" fontId="40" fillId="0" borderId="0" xfId="0" applyNumberFormat="1" applyFont="1" applyAlignment="1">
      <alignment vertical="center" shrinkToFit="1"/>
    </xf>
    <xf numFmtId="0" fontId="6" fillId="7" borderId="67" xfId="0" applyFont="1" applyFill="1" applyBorder="1" applyAlignment="1">
      <alignment horizontal="center" vertical="center" shrinkToFit="1"/>
    </xf>
    <xf numFmtId="0" fontId="6" fillId="7" borderId="65" xfId="0" applyFont="1" applyFill="1" applyBorder="1" applyAlignment="1">
      <alignment vertical="center" shrinkToFit="1"/>
    </xf>
    <xf numFmtId="0" fontId="6" fillId="6" borderId="65" xfId="0" applyFont="1" applyFill="1" applyBorder="1" applyAlignment="1">
      <alignment vertical="center" shrinkToFit="1"/>
    </xf>
    <xf numFmtId="0" fontId="6" fillId="7" borderId="71" xfId="0" applyFont="1" applyFill="1" applyBorder="1" applyAlignment="1">
      <alignment horizontal="center" vertical="center" shrinkToFit="1"/>
    </xf>
    <xf numFmtId="0" fontId="6" fillId="7" borderId="72" xfId="0" applyFont="1" applyFill="1" applyBorder="1" applyAlignment="1">
      <alignment horizontal="center" vertical="center" shrinkToFit="1"/>
    </xf>
    <xf numFmtId="2" fontId="26" fillId="8" borderId="0" xfId="0" applyNumberFormat="1" applyFont="1" applyFill="1" applyAlignment="1">
      <alignment horizontal="center" vertical="center" shrinkToFit="1"/>
    </xf>
    <xf numFmtId="0" fontId="26" fillId="8" borderId="0" xfId="0" applyFont="1" applyFill="1" applyAlignment="1">
      <alignment horizontal="center" vertical="center" shrinkToFit="1"/>
    </xf>
    <xf numFmtId="0" fontId="26" fillId="8" borderId="0" xfId="0" applyFont="1" applyFill="1" applyAlignment="1">
      <alignment vertical="center" wrapText="1" shrinkToFit="1"/>
    </xf>
    <xf numFmtId="2" fontId="26" fillId="13" borderId="0" xfId="0" applyNumberFormat="1" applyFont="1" applyFill="1" applyAlignment="1">
      <alignment horizontal="center" vertical="center" shrinkToFit="1"/>
    </xf>
    <xf numFmtId="0" fontId="26" fillId="13" borderId="0" xfId="0" applyFont="1" applyFill="1" applyAlignment="1">
      <alignment horizontal="center" vertical="center" shrinkToFit="1"/>
    </xf>
    <xf numFmtId="2" fontId="26" fillId="13" borderId="0" xfId="0" applyNumberFormat="1" applyFont="1" applyFill="1" applyAlignment="1">
      <alignment vertical="center" wrapText="1" shrinkToFit="1"/>
    </xf>
    <xf numFmtId="0" fontId="26" fillId="13" borderId="0" xfId="0" applyFont="1" applyFill="1" applyAlignment="1">
      <alignment vertical="center" wrapText="1" shrinkToFit="1"/>
    </xf>
    <xf numFmtId="2" fontId="26" fillId="13" borderId="0" xfId="0" applyNumberFormat="1" applyFont="1" applyFill="1" applyAlignment="1">
      <alignment vertical="center" shrinkToFit="1"/>
    </xf>
    <xf numFmtId="0" fontId="6" fillId="13" borderId="0" xfId="0" applyFont="1" applyFill="1" applyAlignment="1">
      <alignment vertical="center" shrinkToFit="1"/>
    </xf>
    <xf numFmtId="0" fontId="22" fillId="13" borderId="0" xfId="0" applyFont="1" applyFill="1" applyAlignment="1">
      <alignment horizontal="center" vertical="center" shrinkToFit="1"/>
    </xf>
    <xf numFmtId="2" fontId="26" fillId="13" borderId="0" xfId="0" applyNumberFormat="1" applyFont="1" applyFill="1" applyAlignment="1">
      <alignment horizontal="center" shrinkToFit="1"/>
    </xf>
    <xf numFmtId="0" fontId="26" fillId="13" borderId="0" xfId="0" applyFont="1" applyFill="1" applyAlignment="1">
      <alignment horizontal="center" shrinkToFit="1"/>
    </xf>
    <xf numFmtId="2" fontId="26" fillId="13" borderId="0" xfId="0" applyNumberFormat="1" applyFont="1" applyFill="1" applyAlignment="1">
      <alignment wrapText="1" shrinkToFit="1"/>
    </xf>
    <xf numFmtId="0" fontId="26" fillId="13" borderId="0" xfId="0" applyFont="1" applyFill="1" applyAlignment="1">
      <alignment wrapText="1" shrinkToFit="1"/>
    </xf>
    <xf numFmtId="0" fontId="6" fillId="13" borderId="0" xfId="0" applyFont="1" applyFill="1" applyAlignment="1">
      <alignment horizontal="center" shrinkToFit="1"/>
    </xf>
    <xf numFmtId="0" fontId="6" fillId="13" borderId="0" xfId="0" applyFont="1" applyFill="1" applyAlignment="1">
      <alignment shrinkToFit="1"/>
    </xf>
    <xf numFmtId="0" fontId="21" fillId="13" borderId="73" xfId="0" applyFont="1" applyFill="1" applyBorder="1" applyAlignment="1">
      <alignment horizontal="left" vertical="center" shrinkToFit="1"/>
    </xf>
    <xf numFmtId="0" fontId="5" fillId="5" borderId="48" xfId="0" applyFont="1" applyFill="1" applyBorder="1" applyAlignment="1">
      <alignment vertical="center" shrinkToFit="1"/>
    </xf>
    <xf numFmtId="0" fontId="5" fillId="5" borderId="49" xfId="0" applyFont="1" applyFill="1" applyBorder="1" applyAlignment="1">
      <alignment vertical="center" shrinkToFit="1"/>
    </xf>
    <xf numFmtId="0" fontId="5" fillId="5" borderId="51" xfId="0" applyFont="1" applyFill="1" applyBorder="1" applyAlignment="1">
      <alignment vertical="center" shrinkToFit="1"/>
    </xf>
    <xf numFmtId="0" fontId="13" fillId="3" borderId="0" xfId="0" applyFont="1" applyFill="1" applyAlignment="1">
      <alignment vertical="center" shrinkToFit="1"/>
    </xf>
    <xf numFmtId="0" fontId="13" fillId="3" borderId="2" xfId="0" applyFont="1" applyFill="1" applyBorder="1" applyAlignment="1">
      <alignment vertical="center" shrinkToFit="1"/>
    </xf>
    <xf numFmtId="0" fontId="6" fillId="5" borderId="51" xfId="0" applyFont="1" applyFill="1" applyBorder="1" applyAlignment="1">
      <alignment horizontal="center" vertical="center" shrinkToFit="1"/>
    </xf>
    <xf numFmtId="0" fontId="37" fillId="3" borderId="0" xfId="0" applyFont="1" applyFill="1" applyAlignment="1">
      <alignment vertical="center" shrinkToFit="1"/>
    </xf>
    <xf numFmtId="0" fontId="37" fillId="3" borderId="4" xfId="0" applyFont="1" applyFill="1" applyBorder="1" applyAlignment="1">
      <alignment vertical="center" shrinkToFit="1"/>
    </xf>
    <xf numFmtId="0" fontId="6" fillId="3" borderId="4" xfId="0" applyFont="1" applyFill="1" applyBorder="1" applyAlignment="1">
      <alignment vertical="center" shrinkToFit="1"/>
    </xf>
    <xf numFmtId="49" fontId="6" fillId="3" borderId="4" xfId="0" applyNumberFormat="1" applyFont="1" applyFill="1" applyBorder="1" applyAlignment="1">
      <alignment vertical="top" shrinkToFit="1"/>
    </xf>
    <xf numFmtId="0" fontId="40" fillId="3" borderId="4" xfId="0" applyFont="1" applyFill="1" applyBorder="1" applyAlignment="1">
      <alignment horizontal="center" vertical="center" shrinkToFit="1"/>
    </xf>
    <xf numFmtId="0" fontId="6" fillId="5" borderId="53" xfId="0" applyFont="1" applyFill="1" applyBorder="1" applyAlignment="1">
      <alignment horizontal="center" vertical="center" shrinkToFit="1"/>
    </xf>
    <xf numFmtId="0" fontId="6" fillId="5" borderId="54" xfId="0" applyFont="1" applyFill="1" applyBorder="1" applyAlignment="1">
      <alignment horizontal="center" vertical="center" shrinkToFit="1"/>
    </xf>
    <xf numFmtId="0" fontId="6" fillId="5" borderId="54" xfId="0" applyFont="1" applyFill="1" applyBorder="1" applyAlignment="1">
      <alignment horizontal="right" vertical="center" shrinkToFit="1"/>
    </xf>
    <xf numFmtId="0" fontId="15" fillId="5" borderId="54" xfId="0" applyFont="1" applyFill="1" applyBorder="1" applyAlignment="1">
      <alignment wrapText="1" shrinkToFit="1"/>
    </xf>
    <xf numFmtId="0" fontId="6" fillId="20" borderId="20" xfId="0" applyFont="1" applyFill="1" applyBorder="1" applyAlignment="1">
      <alignment horizontal="center" vertical="center" shrinkToFit="1"/>
    </xf>
    <xf numFmtId="0" fontId="45" fillId="20" borderId="4" xfId="0" applyFont="1" applyFill="1" applyBorder="1" applyAlignment="1">
      <alignment vertical="center" shrinkToFit="1"/>
    </xf>
    <xf numFmtId="0" fontId="45" fillId="20" borderId="4" xfId="0" applyFont="1" applyFill="1" applyBorder="1" applyAlignment="1">
      <alignment vertical="center"/>
    </xf>
    <xf numFmtId="168" fontId="45" fillId="20" borderId="4" xfId="0" applyNumberFormat="1" applyFont="1" applyFill="1" applyBorder="1" applyAlignment="1">
      <alignment vertical="center" shrinkToFit="1"/>
    </xf>
    <xf numFmtId="0" fontId="6" fillId="19" borderId="1" xfId="0" applyFont="1" applyFill="1" applyBorder="1" applyAlignment="1">
      <alignment horizontal="center" vertical="center" shrinkToFit="1"/>
    </xf>
    <xf numFmtId="0" fontId="24" fillId="18" borderId="66" xfId="0" applyFont="1" applyFill="1" applyBorder="1" applyAlignment="1">
      <alignment horizontal="center" vertical="center" shrinkToFit="1"/>
    </xf>
    <xf numFmtId="0" fontId="11" fillId="0" borderId="0" xfId="0" applyFont="1" applyAlignment="1">
      <alignment horizontal="left" vertical="center" shrinkToFit="1"/>
    </xf>
    <xf numFmtId="0" fontId="11" fillId="0" borderId="0" xfId="0" applyFont="1" applyAlignment="1">
      <alignment horizontal="center" vertical="center" shrinkToFit="1"/>
    </xf>
    <xf numFmtId="0" fontId="11" fillId="0" borderId="0" xfId="0" applyFont="1" applyAlignment="1">
      <alignment horizontal="right" vertical="center" shrinkToFit="1"/>
    </xf>
    <xf numFmtId="0" fontId="13" fillId="0" borderId="0" xfId="0" applyFont="1" applyAlignment="1">
      <alignment horizontal="left" vertical="center" shrinkToFit="1"/>
    </xf>
    <xf numFmtId="165" fontId="40" fillId="0" borderId="0" xfId="0" applyNumberFormat="1" applyFont="1" applyAlignment="1">
      <alignment horizontal="left" vertical="center" shrinkToFit="1"/>
    </xf>
    <xf numFmtId="0" fontId="40" fillId="0" borderId="0" xfId="0" applyFont="1" applyAlignment="1">
      <alignment horizontal="right" vertical="center" shrinkToFit="1"/>
    </xf>
    <xf numFmtId="168" fontId="92" fillId="0" borderId="0" xfId="0" applyNumberFormat="1" applyFont="1" applyAlignment="1">
      <alignment horizontal="right" vertical="center" shrinkToFit="1"/>
    </xf>
    <xf numFmtId="2" fontId="91" fillId="21" borderId="0" xfId="0" applyNumberFormat="1" applyFont="1" applyFill="1" applyAlignment="1">
      <alignment horizontal="center" vertical="center" shrinkToFit="1"/>
    </xf>
    <xf numFmtId="2" fontId="91" fillId="21" borderId="0" xfId="0" applyNumberFormat="1" applyFont="1" applyFill="1" applyAlignment="1" applyProtection="1">
      <alignment horizontal="center" vertical="center" shrinkToFit="1"/>
      <protection locked="0"/>
    </xf>
    <xf numFmtId="2" fontId="91" fillId="20" borderId="0" xfId="0" applyNumberFormat="1" applyFont="1" applyFill="1" applyAlignment="1">
      <alignment horizontal="center" vertical="center" shrinkToFit="1"/>
    </xf>
    <xf numFmtId="164" fontId="91" fillId="20" borderId="0" xfId="0" applyNumberFormat="1" applyFont="1" applyFill="1" applyAlignment="1" applyProtection="1">
      <alignment horizontal="center" vertical="center" shrinkToFit="1"/>
      <protection locked="0"/>
    </xf>
    <xf numFmtId="168" fontId="71" fillId="17" borderId="0" xfId="0" applyNumberFormat="1" applyFont="1" applyFill="1" applyAlignment="1">
      <alignment horizontal="center" vertical="center" shrinkToFit="1"/>
    </xf>
    <xf numFmtId="168" fontId="71" fillId="17" borderId="0" xfId="0" applyNumberFormat="1" applyFont="1" applyFill="1" applyAlignment="1" applyProtection="1">
      <alignment horizontal="center" vertical="center" shrinkToFit="1"/>
      <protection locked="0"/>
    </xf>
    <xf numFmtId="168" fontId="71" fillId="22" borderId="0" xfId="0" applyNumberFormat="1" applyFont="1" applyFill="1" applyAlignment="1">
      <alignment horizontal="center" vertical="center" shrinkToFit="1"/>
    </xf>
    <xf numFmtId="168" fontId="71" fillId="22" borderId="0" xfId="0" applyNumberFormat="1" applyFont="1" applyFill="1" applyAlignment="1" applyProtection="1">
      <alignment horizontal="center" vertical="center" shrinkToFit="1"/>
      <protection locked="0"/>
    </xf>
    <xf numFmtId="165" fontId="14" fillId="0" borderId="0" xfId="0" applyNumberFormat="1" applyFont="1" applyAlignment="1">
      <alignment horizontal="left" vertical="center" shrinkToFit="1"/>
    </xf>
    <xf numFmtId="165" fontId="14" fillId="0" borderId="0" xfId="0" applyNumberFormat="1" applyFont="1" applyAlignment="1">
      <alignment vertical="center" shrinkToFit="1"/>
    </xf>
    <xf numFmtId="165" fontId="41" fillId="0" borderId="0" xfId="1" applyNumberFormat="1" applyFont="1" applyFill="1" applyBorder="1" applyAlignment="1" applyProtection="1">
      <alignment horizontal="left" vertical="center" shrinkToFit="1"/>
    </xf>
    <xf numFmtId="165" fontId="42" fillId="0" borderId="0" xfId="0" applyNumberFormat="1" applyFont="1" applyAlignment="1">
      <alignment horizontal="left" vertical="center" shrinkToFit="1"/>
    </xf>
    <xf numFmtId="0" fontId="97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 readingOrder="1"/>
    </xf>
    <xf numFmtId="165" fontId="40" fillId="0" borderId="10" xfId="0" applyNumberFormat="1" applyFont="1" applyBorder="1" applyAlignment="1">
      <alignment horizontal="left" vertical="center" shrinkToFit="1"/>
    </xf>
    <xf numFmtId="2" fontId="40" fillId="0" borderId="10" xfId="0" applyNumberFormat="1" applyFont="1" applyBorder="1" applyAlignment="1">
      <alignment horizontal="right" vertical="center" shrinkToFit="1"/>
    </xf>
    <xf numFmtId="2" fontId="40" fillId="0" borderId="0" xfId="0" applyNumberFormat="1" applyFont="1" applyAlignment="1">
      <alignment horizontal="right" vertical="center" shrinkToFit="1"/>
    </xf>
    <xf numFmtId="0" fontId="104" fillId="0" borderId="0" xfId="0" applyFont="1" applyAlignment="1">
      <alignment horizontal="right" vertical="center" shrinkToFit="1"/>
    </xf>
    <xf numFmtId="0" fontId="97" fillId="0" borderId="0" xfId="0" applyFont="1" applyAlignment="1">
      <alignment horizontal="right" vertical="center" readingOrder="2"/>
    </xf>
    <xf numFmtId="164" fontId="40" fillId="0" borderId="0" xfId="0" applyNumberFormat="1" applyFont="1" applyAlignment="1">
      <alignment horizontal="right" vertical="center" shrinkToFit="1"/>
    </xf>
    <xf numFmtId="168" fontId="92" fillId="0" borderId="0" xfId="0" applyNumberFormat="1" applyFont="1" applyAlignment="1">
      <alignment horizontal="center" vertical="center" shrinkToFit="1"/>
    </xf>
    <xf numFmtId="0" fontId="105" fillId="0" borderId="0" xfId="0" applyFont="1" applyAlignment="1">
      <alignment horizontal="center" vertical="center" shrinkToFit="1"/>
    </xf>
    <xf numFmtId="0" fontId="106" fillId="0" borderId="0" xfId="0" applyFont="1" applyAlignment="1">
      <alignment horizontal="center" vertical="center" shrinkToFit="1"/>
    </xf>
    <xf numFmtId="167" fontId="40" fillId="0" borderId="0" xfId="0" applyNumberFormat="1" applyFont="1" applyAlignment="1">
      <alignment horizontal="center" vertical="center" shrinkToFit="1"/>
    </xf>
    <xf numFmtId="168" fontId="92" fillId="0" borderId="0" xfId="0" applyNumberFormat="1" applyFont="1" applyAlignment="1">
      <alignment horizontal="right" vertical="center"/>
    </xf>
    <xf numFmtId="0" fontId="111" fillId="0" borderId="0" xfId="0" applyFont="1" applyAlignment="1">
      <alignment horizontal="center" vertical="center" shrinkToFit="1"/>
    </xf>
    <xf numFmtId="168" fontId="92" fillId="0" borderId="0" xfId="0" applyNumberFormat="1" applyFont="1" applyAlignment="1">
      <alignment horizontal="right" vertical="center" readingOrder="1"/>
    </xf>
    <xf numFmtId="168" fontId="92" fillId="0" borderId="0" xfId="0" applyNumberFormat="1" applyFont="1" applyAlignment="1">
      <alignment horizontal="right" vertical="center" readingOrder="2"/>
    </xf>
    <xf numFmtId="0" fontId="0" fillId="20" borderId="0" xfId="0" applyFill="1"/>
    <xf numFmtId="0" fontId="0" fillId="21" borderId="0" xfId="0" applyFill="1"/>
    <xf numFmtId="0" fontId="0" fillId="22" borderId="0" xfId="0" applyFill="1"/>
    <xf numFmtId="0" fontId="0" fillId="24" borderId="0" xfId="0" applyFill="1"/>
    <xf numFmtId="0" fontId="0" fillId="2" borderId="0" xfId="0" applyFill="1"/>
    <xf numFmtId="0" fontId="0" fillId="17" borderId="0" xfId="0" applyFill="1"/>
    <xf numFmtId="0" fontId="0" fillId="25" borderId="0" xfId="0" applyFill="1"/>
    <xf numFmtId="0" fontId="81" fillId="0" borderId="0" xfId="0" applyFont="1" applyAlignment="1">
      <alignment horizontal="center"/>
    </xf>
    <xf numFmtId="0" fontId="10" fillId="0" borderId="0" xfId="0" applyFont="1" applyAlignment="1">
      <alignment horizontal="right" vertical="center" shrinkToFit="1"/>
    </xf>
    <xf numFmtId="0" fontId="77" fillId="0" borderId="0" xfId="0" applyFont="1" applyAlignment="1">
      <alignment horizontal="left" vertical="center" shrinkToFit="1"/>
    </xf>
    <xf numFmtId="0" fontId="5" fillId="0" borderId="0" xfId="0" applyFont="1" applyAlignment="1">
      <alignment horizontal="right" vertical="center" readingOrder="2"/>
    </xf>
    <xf numFmtId="0" fontId="5" fillId="0" borderId="0" xfId="0" applyFont="1" applyAlignment="1">
      <alignment vertical="center" readingOrder="2"/>
    </xf>
    <xf numFmtId="0" fontId="6" fillId="0" borderId="0" xfId="0" applyFont="1" applyAlignment="1">
      <alignment vertical="center" shrinkToFit="1"/>
    </xf>
    <xf numFmtId="0" fontId="78" fillId="0" borderId="0" xfId="0" applyFont="1" applyAlignment="1">
      <alignment horizontal="center" vertical="center" shrinkToFit="1"/>
    </xf>
    <xf numFmtId="0" fontId="29" fillId="0" borderId="0" xfId="0" applyFont="1" applyAlignment="1">
      <alignment horizontal="left" vertical="center" shrinkToFit="1"/>
    </xf>
    <xf numFmtId="0" fontId="30" fillId="0" borderId="0" xfId="0" applyFont="1" applyAlignment="1">
      <alignment horizontal="center" vertical="center" shrinkToFit="1"/>
    </xf>
    <xf numFmtId="0" fontId="30" fillId="0" borderId="0" xfId="0" applyFont="1" applyAlignment="1">
      <alignment vertical="center" shrinkToFit="1"/>
    </xf>
    <xf numFmtId="0" fontId="30" fillId="0" borderId="0" xfId="0" applyFont="1" applyAlignment="1">
      <alignment horizontal="right" vertical="center" shrinkToFit="1"/>
    </xf>
    <xf numFmtId="0" fontId="37" fillId="0" borderId="0" xfId="0" applyFont="1" applyAlignment="1">
      <alignment horizontal="right" vertical="center" shrinkToFit="1"/>
    </xf>
    <xf numFmtId="2" fontId="7" fillId="0" borderId="0" xfId="0" applyNumberFormat="1" applyFont="1" applyAlignment="1">
      <alignment vertical="center" shrinkToFit="1"/>
    </xf>
    <xf numFmtId="164" fontId="7" fillId="0" borderId="0" xfId="0" applyNumberFormat="1" applyFont="1" applyAlignment="1">
      <alignment vertical="center" shrinkToFit="1"/>
    </xf>
    <xf numFmtId="165" fontId="29" fillId="0" borderId="0" xfId="0" applyNumberFormat="1" applyFont="1" applyAlignment="1">
      <alignment horizontal="left" vertical="center" shrinkToFit="1"/>
    </xf>
    <xf numFmtId="0" fontId="54" fillId="0" borderId="0" xfId="0" applyFont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0" fontId="50" fillId="0" borderId="0" xfId="0" applyFont="1" applyAlignment="1">
      <alignment horizontal="right" vertical="center"/>
    </xf>
    <xf numFmtId="0" fontId="29" fillId="0" borderId="0" xfId="0" applyFont="1" applyAlignment="1">
      <alignment horizontal="left" vertical="top" shrinkToFit="1"/>
    </xf>
    <xf numFmtId="164" fontId="4" fillId="0" borderId="0" xfId="0" applyNumberFormat="1" applyFont="1" applyAlignment="1">
      <alignment horizontal="left" vertical="center" shrinkToFit="1"/>
    </xf>
    <xf numFmtId="0" fontId="29" fillId="0" borderId="0" xfId="0" applyFont="1" applyAlignment="1">
      <alignment horizontal="right" vertical="center" shrinkToFit="1"/>
    </xf>
    <xf numFmtId="0" fontId="31" fillId="0" borderId="0" xfId="0" applyFont="1" applyAlignment="1">
      <alignment horizontal="center" vertical="center" shrinkToFit="1"/>
    </xf>
    <xf numFmtId="0" fontId="36" fillId="0" borderId="0" xfId="0" applyFont="1" applyAlignment="1">
      <alignment horizontal="center" vertical="center" shrinkToFit="1"/>
    </xf>
    <xf numFmtId="167" fontId="29" fillId="0" borderId="0" xfId="0" applyNumberFormat="1" applyFont="1" applyAlignment="1">
      <alignment horizontal="left" vertical="center" shrinkToFit="1"/>
    </xf>
    <xf numFmtId="0" fontId="18" fillId="0" borderId="0" xfId="0" applyFont="1" applyAlignment="1">
      <alignment vertical="center" shrinkToFit="1"/>
    </xf>
    <xf numFmtId="164" fontId="29" fillId="0" borderId="0" xfId="0" applyNumberFormat="1" applyFont="1" applyAlignment="1">
      <alignment horizontal="left" vertical="center" shrinkToFit="1"/>
    </xf>
    <xf numFmtId="0" fontId="66" fillId="0" borderId="0" xfId="0" applyFont="1" applyAlignment="1">
      <alignment horizontal="center" vertical="center" shrinkToFit="1"/>
    </xf>
    <xf numFmtId="0" fontId="4" fillId="0" borderId="0" xfId="0" applyFont="1" applyAlignment="1">
      <alignment vertical="top" shrinkToFit="1"/>
    </xf>
    <xf numFmtId="164" fontId="29" fillId="0" borderId="0" xfId="0" applyNumberFormat="1" applyFont="1" applyAlignment="1">
      <alignment vertical="center" shrinkToFit="1"/>
    </xf>
    <xf numFmtId="0" fontId="55" fillId="0" borderId="0" xfId="0" applyFont="1" applyAlignment="1">
      <alignment horizontal="center" vertical="center" shrinkToFit="1"/>
    </xf>
    <xf numFmtId="0" fontId="39" fillId="0" borderId="0" xfId="0" applyFont="1" applyAlignment="1">
      <alignment horizontal="center" vertical="center" shrinkToFit="1"/>
    </xf>
    <xf numFmtId="2" fontId="29" fillId="0" borderId="0" xfId="0" applyNumberFormat="1" applyFont="1" applyAlignment="1">
      <alignment horizontal="left" vertical="center" shrinkToFit="1"/>
    </xf>
    <xf numFmtId="165" fontId="67" fillId="0" borderId="0" xfId="0" applyNumberFormat="1" applyFont="1" applyAlignment="1">
      <alignment horizontal="center" vertical="center" shrinkToFit="1"/>
    </xf>
    <xf numFmtId="0" fontId="77" fillId="0" borderId="0" xfId="0" applyFont="1" applyAlignment="1">
      <alignment vertical="center" shrinkToFit="1"/>
    </xf>
    <xf numFmtId="165" fontId="36" fillId="0" borderId="0" xfId="0" applyNumberFormat="1" applyFont="1" applyAlignment="1">
      <alignment vertical="center" shrinkToFit="1"/>
    </xf>
    <xf numFmtId="165" fontId="29" fillId="0" borderId="0" xfId="0" applyNumberFormat="1" applyFont="1" applyAlignment="1">
      <alignment vertical="center" shrinkToFit="1"/>
    </xf>
    <xf numFmtId="0" fontId="63" fillId="0" borderId="0" xfId="0" applyFont="1" applyAlignment="1">
      <alignment vertical="center" shrinkToFit="1"/>
    </xf>
    <xf numFmtId="167" fontId="64" fillId="0" borderId="0" xfId="0" applyNumberFormat="1" applyFont="1" applyAlignment="1">
      <alignment vertical="center" shrinkToFit="1"/>
    </xf>
    <xf numFmtId="2" fontId="39" fillId="0" borderId="0" xfId="0" applyNumberFormat="1" applyFont="1" applyAlignment="1">
      <alignment horizontal="center" vertical="center" shrinkToFit="1"/>
    </xf>
    <xf numFmtId="165" fontId="39" fillId="0" borderId="0" xfId="0" applyNumberFormat="1" applyFont="1" applyAlignment="1">
      <alignment horizontal="center" vertical="center" shrinkToFit="1"/>
    </xf>
    <xf numFmtId="165" fontId="29" fillId="0" borderId="0" xfId="0" applyNumberFormat="1" applyFont="1" applyAlignment="1">
      <alignment horizontal="center" vertical="center" shrinkToFit="1"/>
    </xf>
    <xf numFmtId="165" fontId="67" fillId="0" borderId="0" xfId="0" applyNumberFormat="1" applyFont="1" applyAlignment="1">
      <alignment vertical="center" shrinkToFit="1"/>
    </xf>
    <xf numFmtId="0" fontId="65" fillId="0" borderId="0" xfId="0" applyFont="1" applyAlignment="1">
      <alignment vertical="center" shrinkToFit="1"/>
    </xf>
    <xf numFmtId="0" fontId="71" fillId="0" borderId="0" xfId="0" applyFont="1" applyAlignment="1">
      <alignment horizontal="right" vertical="center" shrinkToFit="1"/>
    </xf>
    <xf numFmtId="0" fontId="72" fillId="0" borderId="0" xfId="0" applyFont="1" applyAlignment="1">
      <alignment horizontal="center" vertical="center" shrinkToFit="1"/>
    </xf>
    <xf numFmtId="0" fontId="38" fillId="0" borderId="0" xfId="0" applyFont="1" applyAlignment="1">
      <alignment horizontal="center" vertical="center" shrinkToFit="1"/>
    </xf>
    <xf numFmtId="165" fontId="72" fillId="0" borderId="0" xfId="0" applyNumberFormat="1" applyFont="1" applyAlignment="1">
      <alignment horizontal="center" vertical="center" shrinkToFit="1"/>
    </xf>
    <xf numFmtId="0" fontId="31" fillId="0" borderId="0" xfId="0" applyFont="1" applyAlignment="1">
      <alignment vertical="center" shrinkToFit="1"/>
    </xf>
    <xf numFmtId="0" fontId="117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top"/>
    </xf>
    <xf numFmtId="0" fontId="5" fillId="0" borderId="0" xfId="0" applyFont="1" applyAlignment="1">
      <alignment horizontal="right" vertical="top" wrapText="1"/>
    </xf>
    <xf numFmtId="0" fontId="81" fillId="0" borderId="0" xfId="0" applyFont="1" applyAlignment="1">
      <alignment horizontal="center" vertical="top"/>
    </xf>
    <xf numFmtId="0" fontId="0" fillId="0" borderId="0" xfId="0" applyAlignment="1">
      <alignment horizontal="right" vertical="top"/>
    </xf>
    <xf numFmtId="0" fontId="40" fillId="8" borderId="30" xfId="0" applyFont="1" applyFill="1" applyBorder="1" applyAlignment="1">
      <alignment horizontal="center" vertical="center" shrinkToFit="1"/>
    </xf>
    <xf numFmtId="0" fontId="30" fillId="8" borderId="6" xfId="0" applyFont="1" applyFill="1" applyBorder="1" applyAlignment="1">
      <alignment vertical="center" shrinkToFit="1"/>
    </xf>
    <xf numFmtId="0" fontId="25" fillId="8" borderId="6" xfId="0" applyFont="1" applyFill="1" applyBorder="1" applyAlignment="1">
      <alignment vertical="center" readingOrder="1"/>
    </xf>
    <xf numFmtId="2" fontId="36" fillId="8" borderId="6" xfId="0" applyNumberFormat="1" applyFont="1" applyFill="1" applyBorder="1" applyAlignment="1">
      <alignment vertical="center" shrinkToFit="1"/>
    </xf>
    <xf numFmtId="2" fontId="29" fillId="8" borderId="6" xfId="0" applyNumberFormat="1" applyFont="1" applyFill="1" applyBorder="1" applyAlignment="1">
      <alignment vertical="center" shrinkToFit="1"/>
    </xf>
    <xf numFmtId="0" fontId="36" fillId="8" borderId="6" xfId="0" applyFont="1" applyFill="1" applyBorder="1" applyAlignment="1">
      <alignment vertical="center" shrinkToFit="1"/>
    </xf>
    <xf numFmtId="0" fontId="40" fillId="8" borderId="6" xfId="0" applyFont="1" applyFill="1" applyBorder="1" applyAlignment="1">
      <alignment horizontal="center" vertical="center" shrinkToFit="1"/>
    </xf>
    <xf numFmtId="165" fontId="19" fillId="8" borderId="6" xfId="0" applyNumberFormat="1" applyFont="1" applyFill="1" applyBorder="1" applyAlignment="1">
      <alignment vertical="center" shrinkToFit="1"/>
    </xf>
    <xf numFmtId="0" fontId="40" fillId="8" borderId="1" xfId="0" applyFont="1" applyFill="1" applyBorder="1" applyAlignment="1">
      <alignment horizontal="center" vertical="center" shrinkToFit="1"/>
    </xf>
    <xf numFmtId="0" fontId="6" fillId="8" borderId="2" xfId="0" applyFont="1" applyFill="1" applyBorder="1" applyAlignment="1">
      <alignment vertical="center" shrinkToFit="1"/>
    </xf>
    <xf numFmtId="0" fontId="30" fillId="8" borderId="1" xfId="0" applyFont="1" applyFill="1" applyBorder="1" applyAlignment="1">
      <alignment vertical="center" shrinkToFit="1"/>
    </xf>
    <xf numFmtId="0" fontId="40" fillId="8" borderId="4" xfId="0" applyFont="1" applyFill="1" applyBorder="1" applyAlignment="1">
      <alignment horizontal="center" vertical="center" shrinkToFit="1"/>
    </xf>
    <xf numFmtId="165" fontId="19" fillId="8" borderId="4" xfId="0" applyNumberFormat="1" applyFont="1" applyFill="1" applyBorder="1" applyAlignment="1">
      <alignment vertical="center" shrinkToFit="1"/>
    </xf>
    <xf numFmtId="0" fontId="20" fillId="13" borderId="6" xfId="0" applyFont="1" applyFill="1" applyBorder="1" applyAlignment="1">
      <alignment vertical="center" shrinkToFit="1"/>
    </xf>
    <xf numFmtId="0" fontId="32" fillId="13" borderId="6" xfId="0" applyFont="1" applyFill="1" applyBorder="1" applyAlignment="1">
      <alignment readingOrder="1"/>
    </xf>
    <xf numFmtId="165" fontId="4" fillId="13" borderId="6" xfId="0" applyNumberFormat="1" applyFont="1" applyFill="1" applyBorder="1" applyAlignment="1">
      <alignment vertical="center" shrinkToFit="1"/>
    </xf>
    <xf numFmtId="0" fontId="6" fillId="13" borderId="2" xfId="0" applyFont="1" applyFill="1" applyBorder="1" applyAlignment="1">
      <alignment horizontal="center" vertical="center" shrinkToFit="1"/>
    </xf>
    <xf numFmtId="0" fontId="20" fillId="13" borderId="4" xfId="0" applyFont="1" applyFill="1" applyBorder="1" applyAlignment="1">
      <alignment vertical="center" shrinkToFit="1"/>
    </xf>
    <xf numFmtId="0" fontId="32" fillId="13" borderId="4" xfId="0" applyFont="1" applyFill="1" applyBorder="1" applyAlignment="1">
      <alignment readingOrder="1"/>
    </xf>
    <xf numFmtId="0" fontId="121" fillId="8" borderId="6" xfId="0" applyFont="1" applyFill="1" applyBorder="1" applyAlignment="1">
      <alignment vertical="center" shrinkToFit="1"/>
    </xf>
    <xf numFmtId="2" fontId="60" fillId="8" borderId="6" xfId="0" applyNumberFormat="1" applyFont="1" applyFill="1" applyBorder="1" applyAlignment="1">
      <alignment vertical="center" shrinkToFit="1"/>
    </xf>
    <xf numFmtId="0" fontId="121" fillId="8" borderId="6" xfId="0" applyFont="1" applyFill="1" applyBorder="1" applyAlignment="1">
      <alignment horizontal="center" vertical="center" shrinkToFit="1"/>
    </xf>
    <xf numFmtId="0" fontId="123" fillId="8" borderId="6" xfId="0" applyFont="1" applyFill="1" applyBorder="1" applyAlignment="1">
      <alignment shrinkToFit="1"/>
    </xf>
    <xf numFmtId="0" fontId="121" fillId="8" borderId="6" xfId="0" applyFont="1" applyFill="1" applyBorder="1" applyAlignment="1">
      <alignment shrinkToFit="1"/>
    </xf>
    <xf numFmtId="0" fontId="121" fillId="8" borderId="31" xfId="0" applyFont="1" applyFill="1" applyBorder="1" applyAlignment="1">
      <alignment vertical="center" shrinkToFit="1"/>
    </xf>
    <xf numFmtId="0" fontId="121" fillId="8" borderId="0" xfId="0" applyFont="1" applyFill="1" applyAlignment="1">
      <alignment horizontal="center" vertical="center" shrinkToFit="1"/>
    </xf>
    <xf numFmtId="2" fontId="60" fillId="8" borderId="0" xfId="0" applyNumberFormat="1" applyFont="1" applyFill="1" applyAlignment="1">
      <alignment vertical="center" shrinkToFit="1"/>
    </xf>
    <xf numFmtId="0" fontId="123" fillId="8" borderId="0" xfId="0" applyFont="1" applyFill="1" applyAlignment="1">
      <alignment shrinkToFit="1"/>
    </xf>
    <xf numFmtId="0" fontId="121" fillId="8" borderId="0" xfId="0" applyFont="1" applyFill="1" applyAlignment="1">
      <alignment shrinkToFit="1"/>
    </xf>
    <xf numFmtId="0" fontId="121" fillId="8" borderId="2" xfId="0" applyFont="1" applyFill="1" applyBorder="1" applyAlignment="1">
      <alignment horizontal="center" vertical="center" shrinkToFit="1"/>
    </xf>
    <xf numFmtId="0" fontId="121" fillId="8" borderId="4" xfId="0" applyFont="1" applyFill="1" applyBorder="1" applyAlignment="1">
      <alignment horizontal="center" vertical="center" shrinkToFit="1"/>
    </xf>
    <xf numFmtId="2" fontId="60" fillId="8" borderId="4" xfId="0" applyNumberFormat="1" applyFont="1" applyFill="1" applyBorder="1" applyAlignment="1">
      <alignment vertical="center" shrinkToFit="1"/>
    </xf>
    <xf numFmtId="0" fontId="124" fillId="8" borderId="4" xfId="0" applyFont="1" applyFill="1" applyBorder="1"/>
    <xf numFmtId="0" fontId="121" fillId="8" borderId="4" xfId="0" applyFont="1" applyFill="1" applyBorder="1" applyAlignment="1">
      <alignment shrinkToFit="1"/>
    </xf>
    <xf numFmtId="0" fontId="121" fillId="8" borderId="5" xfId="0" applyFont="1" applyFill="1" applyBorder="1" applyAlignment="1">
      <alignment horizontal="center" vertical="center" shrinkToFit="1"/>
    </xf>
    <xf numFmtId="0" fontId="6" fillId="20" borderId="59" xfId="0" applyFont="1" applyFill="1" applyBorder="1" applyAlignment="1">
      <alignment horizontal="center" vertical="center" shrinkToFit="1"/>
    </xf>
    <xf numFmtId="0" fontId="6" fillId="20" borderId="51" xfId="0" applyFont="1" applyFill="1" applyBorder="1" applyAlignment="1">
      <alignment horizontal="center" vertical="center" shrinkToFit="1"/>
    </xf>
    <xf numFmtId="0" fontId="6" fillId="20" borderId="0" xfId="0" applyFont="1" applyFill="1" applyAlignment="1">
      <alignment horizontal="center" vertical="center" shrinkToFit="1"/>
    </xf>
    <xf numFmtId="0" fontId="45" fillId="20" borderId="0" xfId="0" applyFont="1" applyFill="1" applyAlignment="1">
      <alignment horizontal="center" vertical="center" shrinkToFit="1"/>
    </xf>
    <xf numFmtId="0" fontId="45" fillId="20" borderId="0" xfId="0" applyFont="1" applyFill="1" applyAlignment="1">
      <alignment vertical="center" shrinkToFit="1"/>
    </xf>
    <xf numFmtId="0" fontId="45" fillId="20" borderId="0" xfId="0" applyFont="1" applyFill="1" applyAlignment="1">
      <alignment vertical="center"/>
    </xf>
    <xf numFmtId="168" fontId="45" fillId="20" borderId="0" xfId="0" applyNumberFormat="1" applyFont="1" applyFill="1" applyAlignment="1">
      <alignment vertical="center" shrinkToFit="1"/>
    </xf>
    <xf numFmtId="0" fontId="45" fillId="20" borderId="0" xfId="0" applyFont="1" applyFill="1" applyAlignment="1">
      <alignment vertical="center" wrapText="1" shrinkToFit="1"/>
    </xf>
    <xf numFmtId="0" fontId="6" fillId="20" borderId="51" xfId="0" applyFont="1" applyFill="1" applyBorder="1" applyAlignment="1">
      <alignment vertical="center" shrinkToFit="1"/>
    </xf>
    <xf numFmtId="0" fontId="6" fillId="20" borderId="0" xfId="0" applyFont="1" applyFill="1" applyAlignment="1">
      <alignment vertical="center" shrinkToFit="1"/>
    </xf>
    <xf numFmtId="0" fontId="30" fillId="8" borderId="0" xfId="0" applyFont="1" applyFill="1" applyAlignment="1">
      <alignment vertical="center" shrinkToFit="1"/>
    </xf>
    <xf numFmtId="0" fontId="25" fillId="8" borderId="0" xfId="0" applyFont="1" applyFill="1" applyAlignment="1">
      <alignment vertical="center" readingOrder="1"/>
    </xf>
    <xf numFmtId="2" fontId="36" fillId="8" borderId="0" xfId="0" applyNumberFormat="1" applyFont="1" applyFill="1" applyAlignment="1">
      <alignment vertical="center" shrinkToFit="1"/>
    </xf>
    <xf numFmtId="2" fontId="29" fillId="8" borderId="0" xfId="0" applyNumberFormat="1" applyFont="1" applyFill="1" applyAlignment="1">
      <alignment vertical="center" shrinkToFit="1"/>
    </xf>
    <xf numFmtId="2" fontId="19" fillId="8" borderId="0" xfId="0" applyNumberFormat="1" applyFont="1" applyFill="1" applyAlignment="1">
      <alignment vertical="center" shrinkToFit="1"/>
    </xf>
    <xf numFmtId="165" fontId="36" fillId="8" borderId="0" xfId="0" applyNumberFormat="1" applyFont="1" applyFill="1" applyAlignment="1">
      <alignment vertical="top" shrinkToFit="1"/>
    </xf>
    <xf numFmtId="165" fontId="19" fillId="8" borderId="0" xfId="0" applyNumberFormat="1" applyFont="1" applyFill="1" applyAlignment="1">
      <alignment vertical="center" shrinkToFit="1"/>
    </xf>
    <xf numFmtId="0" fontId="8" fillId="8" borderId="0" xfId="0" applyFont="1" applyFill="1" applyAlignment="1">
      <alignment shrinkToFit="1"/>
    </xf>
    <xf numFmtId="0" fontId="6" fillId="8" borderId="0" xfId="0" applyFont="1" applyFill="1" applyAlignment="1">
      <alignment shrinkToFit="1"/>
    </xf>
    <xf numFmtId="0" fontId="21" fillId="20" borderId="51" xfId="0" applyFont="1" applyFill="1" applyBorder="1" applyAlignment="1">
      <alignment vertical="center" shrinkToFit="1"/>
    </xf>
    <xf numFmtId="0" fontId="21" fillId="20" borderId="0" xfId="0" applyFont="1" applyFill="1" applyAlignment="1">
      <alignment vertical="center" shrinkToFit="1"/>
    </xf>
    <xf numFmtId="0" fontId="25" fillId="20" borderId="0" xfId="0" applyFont="1" applyFill="1" applyAlignment="1">
      <alignment vertical="center" shrinkToFit="1"/>
    </xf>
    <xf numFmtId="0" fontId="21" fillId="19" borderId="51" xfId="0" applyFont="1" applyFill="1" applyBorder="1" applyAlignment="1">
      <alignment horizontal="left" vertical="center" shrinkToFit="1"/>
    </xf>
    <xf numFmtId="0" fontId="21" fillId="19" borderId="0" xfId="0" applyFont="1" applyFill="1" applyAlignment="1">
      <alignment horizontal="left" vertical="center" shrinkToFit="1"/>
    </xf>
    <xf numFmtId="0" fontId="6" fillId="19" borderId="0" xfId="0" applyFont="1" applyFill="1" applyAlignment="1">
      <alignment horizontal="center" vertical="center" shrinkToFit="1"/>
    </xf>
    <xf numFmtId="0" fontId="20" fillId="13" borderId="0" xfId="0" applyFont="1" applyFill="1" applyAlignment="1">
      <alignment vertical="center" shrinkToFit="1"/>
    </xf>
    <xf numFmtId="0" fontId="32" fillId="13" borderId="0" xfId="0" applyFont="1" applyFill="1" applyAlignment="1">
      <alignment readingOrder="1"/>
    </xf>
    <xf numFmtId="2" fontId="4" fillId="13" borderId="0" xfId="0" applyNumberFormat="1" applyFont="1" applyFill="1" applyAlignment="1">
      <alignment vertical="center" shrinkToFit="1"/>
    </xf>
    <xf numFmtId="165" fontId="4" fillId="13" borderId="0" xfId="0" applyNumberFormat="1" applyFont="1" applyFill="1" applyAlignment="1">
      <alignment horizontal="center" vertical="center" shrinkToFit="1"/>
    </xf>
    <xf numFmtId="165" fontId="4" fillId="13" borderId="0" xfId="0" applyNumberFormat="1" applyFont="1" applyFill="1" applyAlignment="1">
      <alignment vertical="center" shrinkToFit="1"/>
    </xf>
    <xf numFmtId="164" fontId="29" fillId="13" borderId="0" xfId="0" applyNumberFormat="1" applyFont="1" applyFill="1" applyAlignment="1">
      <alignment vertical="center"/>
    </xf>
    <xf numFmtId="0" fontId="24" fillId="18" borderId="82" xfId="0" applyFont="1" applyFill="1" applyBorder="1" applyAlignment="1">
      <alignment horizontal="center" vertical="center" shrinkToFit="1"/>
    </xf>
    <xf numFmtId="0" fontId="24" fillId="18" borderId="51" xfId="0" applyFont="1" applyFill="1" applyBorder="1" applyAlignment="1">
      <alignment horizontal="center" vertical="center" shrinkToFit="1"/>
    </xf>
    <xf numFmtId="0" fontId="24" fillId="18" borderId="0" xfId="0" applyFont="1" applyFill="1" applyAlignment="1">
      <alignment horizontal="center" vertical="center" shrinkToFit="1"/>
    </xf>
    <xf numFmtId="0" fontId="29" fillId="18" borderId="0" xfId="0" applyFont="1" applyFill="1" applyAlignment="1">
      <alignment vertical="center" shrinkToFit="1"/>
    </xf>
    <xf numFmtId="0" fontId="29" fillId="18" borderId="0" xfId="0" applyFont="1" applyFill="1" applyAlignment="1">
      <alignment horizontal="center" vertical="center" shrinkToFit="1"/>
    </xf>
    <xf numFmtId="0" fontId="38" fillId="18" borderId="0" xfId="0" applyFont="1" applyFill="1" applyAlignment="1">
      <alignment horizontal="center" vertical="center" shrinkToFit="1"/>
    </xf>
    <xf numFmtId="165" fontId="72" fillId="18" borderId="0" xfId="0" applyNumberFormat="1" applyFont="1" applyFill="1" applyAlignment="1">
      <alignment horizontal="center" vertical="center" shrinkToFit="1"/>
    </xf>
    <xf numFmtId="0" fontId="11" fillId="18" borderId="0" xfId="0" applyFont="1" applyFill="1" applyAlignment="1">
      <alignment vertical="center" shrinkToFit="1"/>
    </xf>
    <xf numFmtId="0" fontId="24" fillId="18" borderId="53" xfId="0" applyFont="1" applyFill="1" applyBorder="1" applyAlignment="1">
      <alignment horizontal="center" vertical="center" shrinkToFit="1"/>
    </xf>
    <xf numFmtId="0" fontId="24" fillId="18" borderId="54" xfId="0" applyFont="1" applyFill="1" applyBorder="1" applyAlignment="1">
      <alignment horizontal="center" vertical="center" shrinkToFit="1"/>
    </xf>
    <xf numFmtId="0" fontId="11" fillId="18" borderId="54" xfId="0" applyFont="1" applyFill="1" applyBorder="1" applyAlignment="1">
      <alignment vertical="center" shrinkToFit="1"/>
    </xf>
    <xf numFmtId="0" fontId="33" fillId="0" borderId="0" xfId="0" applyFont="1" applyAlignment="1">
      <alignment horizontal="right" vertical="center" shrinkToFit="1"/>
    </xf>
    <xf numFmtId="0" fontId="7" fillId="0" borderId="0" xfId="0" applyFont="1" applyAlignment="1">
      <alignment vertical="center" wrapText="1" shrinkToFit="1"/>
    </xf>
    <xf numFmtId="0" fontId="12" fillId="0" borderId="0" xfId="0" applyFont="1" applyAlignment="1">
      <alignment vertical="center" shrinkToFit="1"/>
    </xf>
    <xf numFmtId="0" fontId="125" fillId="5" borderId="50" xfId="0" applyFont="1" applyFill="1" applyBorder="1" applyAlignment="1">
      <alignment vertical="center" shrinkToFit="1"/>
    </xf>
    <xf numFmtId="0" fontId="126" fillId="5" borderId="52" xfId="0" applyFont="1" applyFill="1" applyBorder="1" applyAlignment="1">
      <alignment vertical="center" shrinkToFit="1"/>
    </xf>
    <xf numFmtId="0" fontId="127" fillId="5" borderId="52" xfId="0" applyFont="1" applyFill="1" applyBorder="1" applyAlignment="1">
      <alignment wrapText="1" shrinkToFit="1"/>
    </xf>
    <xf numFmtId="0" fontId="127" fillId="5" borderId="55" xfId="0" applyFont="1" applyFill="1" applyBorder="1" applyAlignment="1">
      <alignment wrapText="1" shrinkToFit="1"/>
    </xf>
    <xf numFmtId="0" fontId="127" fillId="0" borderId="0" xfId="0" applyFont="1" applyAlignment="1">
      <alignment wrapText="1" shrinkToFit="1"/>
    </xf>
    <xf numFmtId="0" fontId="128" fillId="0" borderId="0" xfId="0" applyFont="1" applyAlignment="1">
      <alignment horizontal="right" vertical="center"/>
    </xf>
    <xf numFmtId="0" fontId="129" fillId="20" borderId="60" xfId="0" applyFont="1" applyFill="1" applyBorder="1" applyAlignment="1">
      <alignment vertical="center" shrinkToFit="1"/>
    </xf>
    <xf numFmtId="0" fontId="129" fillId="20" borderId="52" xfId="0" applyFont="1" applyFill="1" applyBorder="1" applyAlignment="1">
      <alignment vertical="center" shrinkToFit="1"/>
    </xf>
    <xf numFmtId="0" fontId="12" fillId="20" borderId="52" xfId="0" applyFont="1" applyFill="1" applyBorder="1" applyAlignment="1">
      <alignment horizontal="center" vertical="center" shrinkToFit="1"/>
    </xf>
    <xf numFmtId="0" fontId="12" fillId="20" borderId="52" xfId="0" applyFont="1" applyFill="1" applyBorder="1" applyAlignment="1">
      <alignment vertical="center" shrinkToFit="1"/>
    </xf>
    <xf numFmtId="0" fontId="130" fillId="20" borderId="52" xfId="0" applyFont="1" applyFill="1" applyBorder="1" applyAlignment="1">
      <alignment vertical="center" shrinkToFit="1"/>
    </xf>
    <xf numFmtId="0" fontId="12" fillId="19" borderId="52" xfId="0" applyFont="1" applyFill="1" applyBorder="1" applyAlignment="1">
      <alignment horizontal="center" vertical="center" shrinkToFit="1"/>
    </xf>
    <xf numFmtId="0" fontId="131" fillId="18" borderId="83" xfId="0" applyFont="1" applyFill="1" applyBorder="1" applyAlignment="1">
      <alignment horizontal="center" vertical="center" shrinkToFit="1"/>
    </xf>
    <xf numFmtId="0" fontId="131" fillId="18" borderId="52" xfId="0" applyFont="1" applyFill="1" applyBorder="1" applyAlignment="1">
      <alignment horizontal="center" vertical="center" shrinkToFit="1"/>
    </xf>
    <xf numFmtId="0" fontId="131" fillId="18" borderId="55" xfId="0" applyFont="1" applyFill="1" applyBorder="1" applyAlignment="1">
      <alignment horizontal="center" vertical="center" shrinkToFit="1"/>
    </xf>
    <xf numFmtId="0" fontId="125" fillId="0" borderId="0" xfId="0" applyFont="1" applyAlignment="1">
      <alignment vertical="center" readingOrder="2"/>
    </xf>
    <xf numFmtId="0" fontId="128" fillId="0" borderId="0" xfId="0" applyFont="1" applyAlignment="1">
      <alignment vertical="center" shrinkToFit="1"/>
    </xf>
    <xf numFmtId="0" fontId="128" fillId="0" borderId="0" xfId="0" applyFont="1" applyAlignment="1">
      <alignment horizontal="center" vertical="center" shrinkToFit="1"/>
    </xf>
    <xf numFmtId="0" fontId="126" fillId="0" borderId="0" xfId="0" applyFont="1" applyAlignment="1">
      <alignment vertical="center" shrinkToFit="1"/>
    </xf>
    <xf numFmtId="0" fontId="132" fillId="0" borderId="0" xfId="0" applyFont="1" applyAlignment="1">
      <alignment vertical="center" shrinkToFit="1"/>
    </xf>
    <xf numFmtId="0" fontId="133" fillId="0" borderId="0" xfId="0" applyFont="1" applyAlignment="1">
      <alignment horizontal="center" vertical="center" shrinkToFit="1"/>
    </xf>
    <xf numFmtId="0" fontId="134" fillId="0" borderId="0" xfId="0" applyFont="1" applyAlignment="1">
      <alignment horizontal="center" vertical="center" shrinkToFit="1"/>
    </xf>
    <xf numFmtId="165" fontId="135" fillId="0" borderId="0" xfId="0" applyNumberFormat="1" applyFont="1" applyAlignment="1">
      <alignment horizontal="center" vertical="center" shrinkToFit="1"/>
    </xf>
    <xf numFmtId="0" fontId="136" fillId="0" borderId="0" xfId="0" applyFont="1" applyAlignment="1">
      <alignment vertical="center" wrapText="1" shrinkToFit="1"/>
    </xf>
    <xf numFmtId="168" fontId="29" fillId="0" borderId="0" xfId="0" applyNumberFormat="1" applyFont="1" applyAlignment="1">
      <alignment vertical="center" shrinkToFit="1"/>
    </xf>
    <xf numFmtId="0" fontId="33" fillId="0" borderId="0" xfId="0" applyFont="1" applyAlignment="1">
      <alignment vertical="center" shrinkToFit="1" readingOrder="1"/>
    </xf>
    <xf numFmtId="2" fontId="12" fillId="0" borderId="0" xfId="0" applyNumberFormat="1" applyFont="1" applyAlignment="1">
      <alignment horizontal="center" vertical="center" shrinkToFit="1"/>
    </xf>
    <xf numFmtId="0" fontId="6" fillId="0" borderId="84" xfId="0" applyFont="1" applyBorder="1" applyAlignment="1">
      <alignment horizontal="center" vertical="center" shrinkToFit="1"/>
    </xf>
    <xf numFmtId="0" fontId="6" fillId="0" borderId="92" xfId="0" applyFont="1" applyBorder="1" applyAlignment="1">
      <alignment horizontal="center" vertical="center" shrinkToFit="1"/>
    </xf>
    <xf numFmtId="2" fontId="6" fillId="0" borderId="84" xfId="0" applyNumberFormat="1" applyFont="1" applyBorder="1" applyAlignment="1">
      <alignment horizontal="center" vertical="center" shrinkToFit="1"/>
    </xf>
    <xf numFmtId="167" fontId="6" fillId="0" borderId="0" xfId="0" applyNumberFormat="1" applyFont="1" applyAlignment="1">
      <alignment horizontal="center" vertical="center" shrinkToFit="1"/>
    </xf>
    <xf numFmtId="0" fontId="121" fillId="0" borderId="84" xfId="0" applyFont="1" applyBorder="1" applyAlignment="1">
      <alignment horizontal="center" vertical="center" shrinkToFit="1"/>
    </xf>
    <xf numFmtId="167" fontId="6" fillId="0" borderId="84" xfId="0" applyNumberFormat="1" applyFont="1" applyBorder="1" applyAlignment="1">
      <alignment horizontal="center" vertical="center" shrinkToFit="1"/>
    </xf>
    <xf numFmtId="1" fontId="40" fillId="0" borderId="0" xfId="0" applyNumberFormat="1" applyFont="1" applyAlignment="1">
      <alignment horizontal="center" vertical="center" shrinkToFit="1"/>
    </xf>
    <xf numFmtId="1" fontId="40" fillId="0" borderId="100" xfId="0" applyNumberFormat="1" applyFont="1" applyBorder="1" applyAlignment="1">
      <alignment horizontal="center" vertical="center" shrinkToFit="1"/>
    </xf>
    <xf numFmtId="1" fontId="40" fillId="0" borderId="101" xfId="0" applyNumberFormat="1" applyFont="1" applyBorder="1" applyAlignment="1">
      <alignment horizontal="center" vertical="center" shrinkToFit="1"/>
    </xf>
    <xf numFmtId="1" fontId="40" fillId="0" borderId="102" xfId="0" applyNumberFormat="1" applyFont="1" applyBorder="1" applyAlignment="1">
      <alignment horizontal="center" vertical="center" shrinkToFit="1"/>
    </xf>
    <xf numFmtId="0" fontId="121" fillId="0" borderId="90" xfId="0" applyFont="1" applyBorder="1" applyAlignment="1">
      <alignment horizontal="center" vertical="center" shrinkToFit="1"/>
    </xf>
    <xf numFmtId="167" fontId="6" fillId="0" borderId="90" xfId="0" applyNumberFormat="1" applyFont="1" applyBorder="1" applyAlignment="1">
      <alignment horizontal="center" vertical="center" shrinkToFit="1"/>
    </xf>
    <xf numFmtId="1" fontId="40" fillId="0" borderId="105" xfId="0" applyNumberFormat="1" applyFont="1" applyBorder="1" applyAlignment="1">
      <alignment horizontal="center" vertical="center" shrinkToFit="1"/>
    </xf>
    <xf numFmtId="0" fontId="111" fillId="0" borderId="92" xfId="0" applyFont="1" applyBorder="1" applyAlignment="1">
      <alignment horizontal="center" vertical="center" shrinkToFit="1"/>
    </xf>
    <xf numFmtId="0" fontId="111" fillId="0" borderId="93" xfId="0" applyFont="1" applyBorder="1" applyAlignment="1">
      <alignment horizontal="center" vertical="center" shrinkToFit="1"/>
    </xf>
    <xf numFmtId="2" fontId="6" fillId="0" borderId="103" xfId="0" applyNumberFormat="1" applyFont="1" applyBorder="1" applyAlignment="1">
      <alignment horizontal="center" vertical="center" shrinkToFit="1"/>
    </xf>
    <xf numFmtId="2" fontId="40" fillId="0" borderId="99" xfId="0" applyNumberFormat="1" applyFont="1" applyBorder="1" applyAlignment="1">
      <alignment horizontal="center" vertical="center" shrinkToFit="1"/>
    </xf>
    <xf numFmtId="0" fontId="6" fillId="0" borderId="104" xfId="0" applyFont="1" applyBorder="1" applyAlignment="1">
      <alignment horizontal="center" vertical="center" shrinkToFit="1"/>
    </xf>
    <xf numFmtId="0" fontId="40" fillId="0" borderId="99" xfId="0" applyFont="1" applyBorder="1" applyAlignment="1">
      <alignment horizontal="center" vertical="center" shrinkToFit="1"/>
    </xf>
    <xf numFmtId="2" fontId="6" fillId="0" borderId="96" xfId="0" applyNumberFormat="1" applyFont="1" applyBorder="1" applyAlignment="1">
      <alignment horizontal="center" vertical="center" shrinkToFit="1"/>
    </xf>
    <xf numFmtId="0" fontId="6" fillId="0" borderId="96" xfId="0" applyFont="1" applyBorder="1" applyAlignment="1">
      <alignment horizontal="center" vertical="center" shrinkToFit="1"/>
    </xf>
    <xf numFmtId="0" fontId="40" fillId="0" borderId="107" xfId="0" applyFont="1" applyBorder="1" applyAlignment="1">
      <alignment horizontal="center" vertical="center" shrinkToFit="1"/>
    </xf>
    <xf numFmtId="0" fontId="6" fillId="0" borderId="108" xfId="0" applyFont="1" applyBorder="1" applyAlignment="1">
      <alignment horizontal="center" vertical="center" shrinkToFit="1"/>
    </xf>
    <xf numFmtId="0" fontId="6" fillId="0" borderId="103" xfId="0" applyFont="1" applyBorder="1" applyAlignment="1">
      <alignment horizontal="center" vertical="center" shrinkToFit="1"/>
    </xf>
    <xf numFmtId="2" fontId="40" fillId="0" borderId="107" xfId="0" applyNumberFormat="1" applyFont="1" applyBorder="1" applyAlignment="1">
      <alignment horizontal="center" vertical="center" shrinkToFit="1"/>
    </xf>
    <xf numFmtId="0" fontId="107" fillId="0" borderId="102" xfId="0" applyFont="1" applyBorder="1" applyAlignment="1">
      <alignment horizontal="center" vertical="center" shrinkToFit="1"/>
    </xf>
    <xf numFmtId="0" fontId="107" fillId="0" borderId="106" xfId="0" applyFont="1" applyBorder="1" applyAlignment="1">
      <alignment horizontal="center" vertical="center" shrinkToFit="1"/>
    </xf>
    <xf numFmtId="0" fontId="107" fillId="0" borderId="98" xfId="0" applyFont="1" applyBorder="1" applyAlignment="1">
      <alignment horizontal="center" vertical="center" shrinkToFit="1"/>
    </xf>
    <xf numFmtId="0" fontId="107" fillId="0" borderId="85" xfId="0" applyFont="1" applyBorder="1" applyAlignment="1">
      <alignment horizontal="center" vertical="center" shrinkToFit="1"/>
    </xf>
    <xf numFmtId="0" fontId="107" fillId="0" borderId="106" xfId="0" applyFont="1" applyBorder="1" applyAlignment="1">
      <alignment horizontal="center" shrinkToFit="1"/>
    </xf>
    <xf numFmtId="0" fontId="107" fillId="0" borderId="102" xfId="0" applyFont="1" applyBorder="1" applyAlignment="1">
      <alignment horizontal="center" shrinkToFit="1"/>
    </xf>
    <xf numFmtId="0" fontId="107" fillId="0" borderId="98" xfId="0" applyFont="1" applyBorder="1" applyAlignment="1">
      <alignment horizontal="center" shrinkToFit="1"/>
    </xf>
    <xf numFmtId="0" fontId="107" fillId="0" borderId="85" xfId="0" applyFont="1" applyBorder="1" applyAlignment="1">
      <alignment horizontal="center" shrinkToFit="1"/>
    </xf>
    <xf numFmtId="0" fontId="40" fillId="0" borderId="109" xfId="0" applyFont="1" applyBorder="1" applyAlignment="1">
      <alignment horizontal="center" vertical="center" shrinkToFit="1"/>
    </xf>
    <xf numFmtId="0" fontId="40" fillId="0" borderId="110" xfId="0" applyFont="1" applyBorder="1" applyAlignment="1">
      <alignment horizontal="center" vertical="center" shrinkToFit="1"/>
    </xf>
    <xf numFmtId="0" fontId="0" fillId="21" borderId="0" xfId="0" applyFill="1" applyAlignment="1">
      <alignment vertical="top"/>
    </xf>
    <xf numFmtId="0" fontId="143" fillId="0" borderId="0" xfId="0" applyFont="1" applyAlignment="1">
      <alignment horizontal="center" vertical="center"/>
    </xf>
    <xf numFmtId="0" fontId="1" fillId="21" borderId="0" xfId="0" applyFont="1" applyFill="1"/>
    <xf numFmtId="0" fontId="1" fillId="0" borderId="0" xfId="0" applyFont="1"/>
    <xf numFmtId="0" fontId="1" fillId="17" borderId="0" xfId="0" applyFont="1" applyFill="1"/>
    <xf numFmtId="0" fontId="143" fillId="19" borderId="0" xfId="0" applyFont="1" applyFill="1" applyAlignment="1">
      <alignment horizontal="center" vertical="center"/>
    </xf>
    <xf numFmtId="0" fontId="143" fillId="17" borderId="0" xfId="0" applyFont="1" applyFill="1" applyAlignment="1">
      <alignment horizontal="center" vertical="center"/>
    </xf>
    <xf numFmtId="0" fontId="5" fillId="21" borderId="0" xfId="0" applyFont="1" applyFill="1" applyAlignment="1">
      <alignment vertical="top"/>
    </xf>
    <xf numFmtId="0" fontId="5" fillId="0" borderId="0" xfId="0" applyFont="1"/>
    <xf numFmtId="0" fontId="42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7" fillId="21" borderId="0" xfId="0" applyFont="1" applyFill="1" applyAlignment="1">
      <alignment vertical="top"/>
    </xf>
    <xf numFmtId="0" fontId="37" fillId="0" borderId="0" xfId="0" applyFont="1" applyAlignment="1">
      <alignment horizontal="center" vertical="top"/>
    </xf>
    <xf numFmtId="0" fontId="37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horizontal="right" vertical="top"/>
    </xf>
    <xf numFmtId="0" fontId="143" fillId="0" borderId="0" xfId="0" applyFont="1" applyAlignment="1">
      <alignment horizontal="center" vertical="center" textRotation="180"/>
    </xf>
    <xf numFmtId="0" fontId="37" fillId="0" borderId="0" xfId="0" applyFont="1" applyAlignment="1">
      <alignment horizontal="right" vertical="top"/>
    </xf>
    <xf numFmtId="0" fontId="5" fillId="22" borderId="0" xfId="0" applyFont="1" applyFill="1"/>
    <xf numFmtId="0" fontId="82" fillId="0" borderId="0" xfId="0" applyFont="1" applyAlignment="1">
      <alignment horizontal="center"/>
    </xf>
    <xf numFmtId="0" fontId="83" fillId="0" borderId="0" xfId="0" applyFont="1" applyAlignment="1">
      <alignment horizontal="center"/>
    </xf>
    <xf numFmtId="0" fontId="117" fillId="26" borderId="0" xfId="0" applyFont="1" applyFill="1" applyAlignment="1">
      <alignment horizontal="center" vertical="center"/>
    </xf>
    <xf numFmtId="0" fontId="143" fillId="28" borderId="0" xfId="0" applyFont="1" applyFill="1" applyAlignment="1">
      <alignment horizontal="center" vertical="center" textRotation="180"/>
    </xf>
    <xf numFmtId="0" fontId="5" fillId="21" borderId="0" xfId="0" applyFont="1" applyFill="1" applyAlignment="1">
      <alignment horizontal="center" vertical="top"/>
    </xf>
    <xf numFmtId="0" fontId="37" fillId="17" borderId="0" xfId="0" applyFont="1" applyFill="1" applyAlignment="1">
      <alignment horizontal="center" vertical="top"/>
    </xf>
    <xf numFmtId="0" fontId="37" fillId="17" borderId="0" xfId="0" applyFont="1" applyFill="1" applyAlignment="1">
      <alignment horizontal="right" vertical="top"/>
    </xf>
    <xf numFmtId="0" fontId="5" fillId="22" borderId="0" xfId="0" applyFont="1" applyFill="1" applyAlignment="1">
      <alignment horizontal="center" vertical="top"/>
    </xf>
    <xf numFmtId="0" fontId="5" fillId="22" borderId="0" xfId="0" applyFont="1" applyFill="1" applyAlignment="1">
      <alignment horizontal="right" vertical="top" wrapText="1"/>
    </xf>
    <xf numFmtId="0" fontId="5" fillId="22" borderId="0" xfId="0" applyFont="1" applyFill="1" applyAlignment="1">
      <alignment horizontal="right" vertical="top"/>
    </xf>
    <xf numFmtId="0" fontId="81" fillId="8" borderId="0" xfId="0" applyFont="1" applyFill="1" applyAlignment="1">
      <alignment horizontal="center" vertical="center" textRotation="180" wrapText="1"/>
    </xf>
    <xf numFmtId="0" fontId="5" fillId="19" borderId="0" xfId="0" applyFont="1" applyFill="1" applyAlignment="1">
      <alignment horizontal="center" vertical="top"/>
    </xf>
    <xf numFmtId="0" fontId="0" fillId="17" borderId="0" xfId="0" applyFill="1" applyAlignment="1">
      <alignment horizontal="right" vertical="top"/>
    </xf>
    <xf numFmtId="0" fontId="81" fillId="17" borderId="0" xfId="0" applyFont="1" applyFill="1" applyAlignment="1">
      <alignment horizontal="center" vertical="top"/>
    </xf>
    <xf numFmtId="0" fontId="81" fillId="25" borderId="0" xfId="0" applyFont="1" applyFill="1" applyAlignment="1">
      <alignment horizontal="center" vertical="top"/>
    </xf>
    <xf numFmtId="0" fontId="116" fillId="25" borderId="0" xfId="0" applyFont="1" applyFill="1" applyAlignment="1">
      <alignment horizontal="right" vertical="top" wrapText="1"/>
    </xf>
    <xf numFmtId="0" fontId="0" fillId="25" borderId="0" xfId="0" applyFill="1" applyAlignment="1">
      <alignment horizontal="right" vertical="top"/>
    </xf>
    <xf numFmtId="0" fontId="117" fillId="27" borderId="0" xfId="0" applyFont="1" applyFill="1" applyAlignment="1">
      <alignment horizontal="center" vertical="center"/>
    </xf>
    <xf numFmtId="0" fontId="81" fillId="24" borderId="0" xfId="0" applyFont="1" applyFill="1" applyAlignment="1">
      <alignment horizontal="center" vertical="top"/>
    </xf>
    <xf numFmtId="0" fontId="5" fillId="24" borderId="0" xfId="0" applyFont="1" applyFill="1" applyAlignment="1">
      <alignment horizontal="right" vertical="top" wrapText="1"/>
    </xf>
    <xf numFmtId="0" fontId="5" fillId="2" borderId="0" xfId="0" applyFont="1" applyFill="1" applyAlignment="1">
      <alignment horizontal="right" vertical="top" wrapText="1"/>
    </xf>
    <xf numFmtId="0" fontId="81" fillId="2" borderId="0" xfId="0" applyFont="1" applyFill="1" applyAlignment="1">
      <alignment horizontal="center" vertical="top"/>
    </xf>
    <xf numFmtId="0" fontId="82" fillId="21" borderId="0" xfId="0" applyFont="1" applyFill="1" applyAlignment="1">
      <alignment horizontal="center" vertical="top"/>
    </xf>
    <xf numFmtId="0" fontId="5" fillId="21" borderId="0" xfId="0" applyFont="1" applyFill="1" applyAlignment="1">
      <alignment horizontal="right" vertical="top" wrapText="1"/>
    </xf>
    <xf numFmtId="0" fontId="82" fillId="22" borderId="0" xfId="0" applyFont="1" applyFill="1" applyAlignment="1">
      <alignment horizontal="center" vertical="top"/>
    </xf>
    <xf numFmtId="0" fontId="82" fillId="20" borderId="0" xfId="0" applyFont="1" applyFill="1" applyAlignment="1">
      <alignment horizontal="center" vertical="top"/>
    </xf>
    <xf numFmtId="0" fontId="5" fillId="20" borderId="0" xfId="0" applyFont="1" applyFill="1" applyAlignment="1">
      <alignment horizontal="right" vertical="top" wrapText="1"/>
    </xf>
    <xf numFmtId="0" fontId="117" fillId="26" borderId="0" xfId="0" applyFont="1" applyFill="1" applyAlignment="1">
      <alignment horizontal="center" vertical="center" wrapText="1"/>
    </xf>
    <xf numFmtId="0" fontId="37" fillId="21" borderId="0" xfId="0" applyFont="1" applyFill="1" applyAlignment="1">
      <alignment horizontal="center" vertical="top"/>
    </xf>
    <xf numFmtId="0" fontId="5" fillId="24" borderId="0" xfId="0" applyFont="1" applyFill="1" applyAlignment="1">
      <alignment horizontal="center" vertical="top"/>
    </xf>
    <xf numFmtId="0" fontId="5" fillId="24" borderId="0" xfId="0" applyFont="1" applyFill="1" applyAlignment="1">
      <alignment horizontal="right" vertical="top"/>
    </xf>
    <xf numFmtId="0" fontId="82" fillId="13" borderId="0" xfId="0" applyFont="1" applyFill="1" applyAlignment="1">
      <alignment horizontal="center" vertical="center" textRotation="180" wrapText="1"/>
    </xf>
    <xf numFmtId="0" fontId="37" fillId="19" borderId="0" xfId="0" applyFont="1" applyFill="1" applyAlignment="1">
      <alignment horizontal="right" vertical="top"/>
    </xf>
    <xf numFmtId="0" fontId="13" fillId="12" borderId="17" xfId="1" applyFont="1" applyFill="1" applyBorder="1" applyAlignment="1" applyProtection="1">
      <alignment horizontal="center" vertical="center" shrinkToFit="1"/>
      <protection locked="0"/>
    </xf>
    <xf numFmtId="0" fontId="13" fillId="12" borderId="7" xfId="1" applyFont="1" applyFill="1" applyBorder="1" applyAlignment="1" applyProtection="1">
      <alignment horizontal="center" vertical="center" shrinkToFit="1"/>
      <protection locked="0"/>
    </xf>
    <xf numFmtId="0" fontId="13" fillId="12" borderId="18" xfId="1" applyFont="1" applyFill="1" applyBorder="1" applyAlignment="1" applyProtection="1">
      <alignment horizontal="center" vertical="center" shrinkToFit="1"/>
      <protection locked="0"/>
    </xf>
    <xf numFmtId="0" fontId="31" fillId="13" borderId="28" xfId="0" applyFont="1" applyFill="1" applyBorder="1" applyAlignment="1">
      <alignment horizontal="center" vertical="center" shrinkToFit="1"/>
    </xf>
    <xf numFmtId="0" fontId="18" fillId="8" borderId="20" xfId="0" applyFont="1" applyFill="1" applyBorder="1" applyAlignment="1">
      <alignment horizontal="center" vertical="center" shrinkToFit="1"/>
    </xf>
    <xf numFmtId="0" fontId="120" fillId="8" borderId="6" xfId="0" applyFont="1" applyFill="1" applyBorder="1" applyAlignment="1">
      <alignment horizontal="center" vertical="center" readingOrder="1"/>
    </xf>
    <xf numFmtId="0" fontId="120" fillId="8" borderId="0" xfId="0" applyFont="1" applyFill="1" applyAlignment="1">
      <alignment horizontal="center" vertical="center" readingOrder="1"/>
    </xf>
    <xf numFmtId="0" fontId="120" fillId="8" borderId="4" xfId="0" applyFont="1" applyFill="1" applyBorder="1" applyAlignment="1">
      <alignment horizontal="center" vertical="center" readingOrder="1"/>
    </xf>
    <xf numFmtId="0" fontId="119" fillId="8" borderId="30" xfId="0" applyFont="1" applyFill="1" applyBorder="1" applyAlignment="1">
      <alignment horizontal="center" vertical="center" shrinkToFit="1"/>
    </xf>
    <xf numFmtId="0" fontId="119" fillId="8" borderId="6" xfId="0" applyFont="1" applyFill="1" applyBorder="1" applyAlignment="1">
      <alignment horizontal="center" vertical="center" shrinkToFit="1"/>
    </xf>
    <xf numFmtId="0" fontId="119" fillId="8" borderId="1" xfId="0" applyFont="1" applyFill="1" applyBorder="1" applyAlignment="1">
      <alignment horizontal="center" vertical="center" shrinkToFit="1"/>
    </xf>
    <xf numFmtId="0" fontId="119" fillId="8" borderId="0" xfId="0" applyFont="1" applyFill="1" applyAlignment="1">
      <alignment horizontal="center" vertical="center" shrinkToFit="1"/>
    </xf>
    <xf numFmtId="0" fontId="119" fillId="8" borderId="3" xfId="0" applyFont="1" applyFill="1" applyBorder="1" applyAlignment="1">
      <alignment horizontal="center" vertical="center" shrinkToFit="1"/>
    </xf>
    <xf numFmtId="0" fontId="119" fillId="8" borderId="4" xfId="0" applyFont="1" applyFill="1" applyBorder="1" applyAlignment="1">
      <alignment horizontal="center" vertical="center" shrinkToFit="1"/>
    </xf>
    <xf numFmtId="0" fontId="6" fillId="6" borderId="13" xfId="0" applyFont="1" applyFill="1" applyBorder="1" applyAlignment="1" applyProtection="1">
      <alignment horizontal="left" vertical="center" shrinkToFit="1"/>
      <protection locked="0"/>
    </xf>
    <xf numFmtId="2" fontId="26" fillId="8" borderId="4" xfId="0" applyNumberFormat="1" applyFont="1" applyFill="1" applyBorder="1" applyAlignment="1">
      <alignment horizontal="left" vertical="center" shrinkToFit="1"/>
    </xf>
    <xf numFmtId="0" fontId="26" fillId="8" borderId="4" xfId="0" applyFont="1" applyFill="1" applyBorder="1" applyAlignment="1">
      <alignment horizontal="right" vertical="center" readingOrder="1"/>
    </xf>
    <xf numFmtId="0" fontId="6" fillId="7" borderId="14" xfId="0" applyFont="1" applyFill="1" applyBorder="1" applyAlignment="1">
      <alignment horizontal="right" vertical="center" shrinkToFit="1"/>
    </xf>
    <xf numFmtId="0" fontId="6" fillId="7" borderId="12" xfId="0" applyFont="1" applyFill="1" applyBorder="1" applyAlignment="1">
      <alignment horizontal="right" vertical="center" shrinkToFit="1"/>
    </xf>
    <xf numFmtId="0" fontId="6" fillId="7" borderId="14" xfId="0" applyFont="1" applyFill="1" applyBorder="1" applyAlignment="1">
      <alignment horizontal="left" vertical="center" shrinkToFit="1"/>
    </xf>
    <xf numFmtId="0" fontId="6" fillId="7" borderId="8" xfId="0" applyFont="1" applyFill="1" applyBorder="1" applyAlignment="1">
      <alignment horizontal="left" vertical="center" shrinkToFit="1"/>
    </xf>
    <xf numFmtId="0" fontId="6" fillId="7" borderId="12" xfId="0" applyFont="1" applyFill="1" applyBorder="1" applyAlignment="1">
      <alignment horizontal="left" vertical="center" shrinkToFit="1"/>
    </xf>
    <xf numFmtId="0" fontId="2" fillId="7" borderId="8" xfId="0" applyFont="1" applyFill="1" applyBorder="1" applyAlignment="1">
      <alignment horizontal="center" vertical="center" shrinkToFit="1"/>
    </xf>
    <xf numFmtId="0" fontId="13" fillId="4" borderId="17" xfId="0" applyFont="1" applyFill="1" applyBorder="1" applyAlignment="1">
      <alignment horizontal="center" vertical="center" shrinkToFit="1"/>
    </xf>
    <xf numFmtId="0" fontId="13" fillId="4" borderId="7" xfId="0" applyFont="1" applyFill="1" applyBorder="1" applyAlignment="1">
      <alignment horizontal="center" vertical="center" shrinkToFit="1"/>
    </xf>
    <xf numFmtId="0" fontId="13" fillId="4" borderId="18" xfId="0" applyFont="1" applyFill="1" applyBorder="1" applyAlignment="1">
      <alignment horizontal="center" vertical="center" shrinkToFit="1"/>
    </xf>
    <xf numFmtId="0" fontId="18" fillId="3" borderId="9" xfId="0" applyFont="1" applyFill="1" applyBorder="1" applyAlignment="1">
      <alignment horizontal="center" vertical="center" shrinkToFit="1"/>
    </xf>
    <xf numFmtId="0" fontId="18" fillId="3" borderId="0" xfId="0" applyFont="1" applyFill="1" applyAlignment="1">
      <alignment horizontal="center" vertical="center" shrinkToFit="1"/>
    </xf>
    <xf numFmtId="0" fontId="18" fillId="3" borderId="2" xfId="0" applyFont="1" applyFill="1" applyBorder="1" applyAlignment="1">
      <alignment horizontal="center" vertical="center" shrinkToFit="1"/>
    </xf>
    <xf numFmtId="0" fontId="14" fillId="11" borderId="56" xfId="0" applyFont="1" applyFill="1" applyBorder="1" applyAlignment="1">
      <alignment horizontal="left" vertical="center" shrinkToFit="1"/>
    </xf>
    <xf numFmtId="0" fontId="14" fillId="11" borderId="6" xfId="0" applyFont="1" applyFill="1" applyBorder="1" applyAlignment="1">
      <alignment horizontal="left" vertical="center" shrinkToFit="1"/>
    </xf>
    <xf numFmtId="0" fontId="14" fillId="11" borderId="51" xfId="0" applyFont="1" applyFill="1" applyBorder="1" applyAlignment="1">
      <alignment horizontal="left" vertical="center" shrinkToFit="1"/>
    </xf>
    <xf numFmtId="0" fontId="14" fillId="11" borderId="0" xfId="0" applyFont="1" applyFill="1" applyAlignment="1">
      <alignment horizontal="left" vertical="center" shrinkToFit="1"/>
    </xf>
    <xf numFmtId="0" fontId="14" fillId="11" borderId="6" xfId="0" applyFont="1" applyFill="1" applyBorder="1" applyAlignment="1">
      <alignment horizontal="center" vertical="center" shrinkToFit="1"/>
    </xf>
    <xf numFmtId="0" fontId="14" fillId="11" borderId="57" xfId="0" applyFont="1" applyFill="1" applyBorder="1" applyAlignment="1">
      <alignment horizontal="center" vertical="center" shrinkToFit="1"/>
    </xf>
    <xf numFmtId="0" fontId="14" fillId="11" borderId="0" xfId="0" applyFont="1" applyFill="1" applyAlignment="1">
      <alignment horizontal="center" vertical="center" shrinkToFit="1"/>
    </xf>
    <xf numFmtId="0" fontId="14" fillId="11" borderId="52" xfId="0" applyFont="1" applyFill="1" applyBorder="1" applyAlignment="1">
      <alignment horizontal="center" vertical="center" shrinkToFit="1"/>
    </xf>
    <xf numFmtId="0" fontId="17" fillId="6" borderId="6" xfId="0" applyFont="1" applyFill="1" applyBorder="1" applyAlignment="1">
      <alignment horizontal="center" vertical="center" shrinkToFit="1"/>
    </xf>
    <xf numFmtId="0" fontId="17" fillId="6" borderId="0" xfId="0" applyFont="1" applyFill="1" applyAlignment="1">
      <alignment horizontal="center" vertical="center" shrinkToFit="1"/>
    </xf>
    <xf numFmtId="0" fontId="2" fillId="3" borderId="16" xfId="0" applyFont="1" applyFill="1" applyBorder="1" applyAlignment="1">
      <alignment horizontal="center" vertical="center" wrapText="1" shrinkToFit="1"/>
    </xf>
    <xf numFmtId="0" fontId="2" fillId="3" borderId="10" xfId="0" applyFont="1" applyFill="1" applyBorder="1" applyAlignment="1">
      <alignment horizontal="center" vertical="center" wrapText="1" shrinkToFit="1"/>
    </xf>
    <xf numFmtId="0" fontId="2" fillId="3" borderId="11" xfId="0" applyFont="1" applyFill="1" applyBorder="1" applyAlignment="1">
      <alignment horizontal="center" vertical="center" wrapText="1" shrinkToFit="1"/>
    </xf>
    <xf numFmtId="0" fontId="16" fillId="3" borderId="4" xfId="0" applyFont="1" applyFill="1" applyBorder="1" applyAlignment="1">
      <alignment horizontal="center" vertical="center" shrinkToFit="1"/>
    </xf>
    <xf numFmtId="2" fontId="26" fillId="8" borderId="29" xfId="0" applyNumberFormat="1" applyFont="1" applyFill="1" applyBorder="1" applyAlignment="1">
      <alignment horizontal="left" vertical="center" shrinkToFit="1"/>
    </xf>
    <xf numFmtId="2" fontId="26" fillId="8" borderId="9" xfId="0" applyNumberFormat="1" applyFont="1" applyFill="1" applyBorder="1" applyAlignment="1">
      <alignment horizontal="left" vertical="center" shrinkToFit="1"/>
    </xf>
    <xf numFmtId="164" fontId="6" fillId="7" borderId="14" xfId="0" applyNumberFormat="1" applyFont="1" applyFill="1" applyBorder="1" applyAlignment="1">
      <alignment horizontal="right" vertical="center" shrinkToFit="1"/>
    </xf>
    <xf numFmtId="164" fontId="6" fillId="7" borderId="8" xfId="0" applyNumberFormat="1" applyFont="1" applyFill="1" applyBorder="1" applyAlignment="1">
      <alignment horizontal="right" vertical="center" shrinkToFit="1"/>
    </xf>
    <xf numFmtId="164" fontId="6" fillId="7" borderId="12" xfId="0" applyNumberFormat="1" applyFont="1" applyFill="1" applyBorder="1" applyAlignment="1">
      <alignment horizontal="right" vertical="center" shrinkToFit="1"/>
    </xf>
    <xf numFmtId="0" fontId="5" fillId="5" borderId="22" xfId="0" applyFont="1" applyFill="1" applyBorder="1" applyAlignment="1">
      <alignment horizontal="center" vertical="center" shrinkToFit="1"/>
    </xf>
    <xf numFmtId="0" fontId="14" fillId="0" borderId="0" xfId="0" applyFont="1" applyAlignment="1">
      <alignment horizontal="center" vertical="center" shrinkToFit="1"/>
    </xf>
    <xf numFmtId="0" fontId="10" fillId="0" borderId="0" xfId="0" applyFont="1" applyAlignment="1">
      <alignment horizontal="left" vertical="center" shrinkToFit="1"/>
    </xf>
    <xf numFmtId="0" fontId="10" fillId="0" borderId="0" xfId="0" applyFont="1" applyAlignment="1">
      <alignment horizontal="right" vertical="center" shrinkToFit="1"/>
    </xf>
    <xf numFmtId="0" fontId="6" fillId="7" borderId="8" xfId="0" applyFont="1" applyFill="1" applyBorder="1" applyAlignment="1">
      <alignment horizontal="center" vertical="center" shrinkToFit="1"/>
    </xf>
    <xf numFmtId="0" fontId="6" fillId="7" borderId="68" xfId="0" applyFont="1" applyFill="1" applyBorder="1" applyAlignment="1">
      <alignment horizontal="center" vertical="center" shrinkToFit="1"/>
    </xf>
    <xf numFmtId="0" fontId="6" fillId="7" borderId="14" xfId="0" applyFont="1" applyFill="1" applyBorder="1" applyAlignment="1" applyProtection="1">
      <alignment horizontal="left" vertical="center" shrinkToFit="1"/>
      <protection locked="0"/>
    </xf>
    <xf numFmtId="0" fontId="6" fillId="7" borderId="12" xfId="0" applyFont="1" applyFill="1" applyBorder="1" applyAlignment="1" applyProtection="1">
      <alignment horizontal="left" vertical="center" shrinkToFit="1"/>
      <protection locked="0"/>
    </xf>
    <xf numFmtId="0" fontId="6" fillId="7" borderId="14" xfId="0" applyFont="1" applyFill="1" applyBorder="1" applyAlignment="1" applyProtection="1">
      <alignment horizontal="center" vertical="center" shrinkToFit="1"/>
      <protection locked="0"/>
    </xf>
    <xf numFmtId="0" fontId="6" fillId="7" borderId="12" xfId="0" applyFont="1" applyFill="1" applyBorder="1" applyAlignment="1" applyProtection="1">
      <alignment horizontal="center" vertical="center" shrinkToFit="1"/>
      <protection locked="0"/>
    </xf>
    <xf numFmtId="0" fontId="6" fillId="7" borderId="8" xfId="0" applyFont="1" applyFill="1" applyBorder="1" applyAlignment="1" applyProtection="1">
      <alignment horizontal="center" vertical="center" shrinkToFit="1"/>
      <protection locked="0"/>
    </xf>
    <xf numFmtId="0" fontId="10" fillId="0" borderId="0" xfId="0" applyFont="1" applyAlignment="1">
      <alignment horizontal="left" vertical="center" shrinkToFit="1" readingOrder="2"/>
    </xf>
    <xf numFmtId="0" fontId="6" fillId="7" borderId="68" xfId="0" applyFont="1" applyFill="1" applyBorder="1" applyAlignment="1">
      <alignment horizontal="right" vertical="center" shrinkToFit="1"/>
    </xf>
    <xf numFmtId="2" fontId="6" fillId="7" borderId="14" xfId="0" applyNumberFormat="1" applyFont="1" applyFill="1" applyBorder="1" applyAlignment="1">
      <alignment horizontal="left" vertical="center" shrinkToFit="1"/>
    </xf>
    <xf numFmtId="2" fontId="6" fillId="7" borderId="8" xfId="0" applyNumberFormat="1" applyFont="1" applyFill="1" applyBorder="1" applyAlignment="1">
      <alignment horizontal="left" vertical="center" shrinkToFit="1"/>
    </xf>
    <xf numFmtId="2" fontId="6" fillId="7" borderId="12" xfId="0" applyNumberFormat="1" applyFont="1" applyFill="1" applyBorder="1" applyAlignment="1">
      <alignment horizontal="left" vertical="center" shrinkToFit="1"/>
    </xf>
    <xf numFmtId="165" fontId="10" fillId="0" borderId="0" xfId="0" applyNumberFormat="1" applyFont="1" applyAlignment="1">
      <alignment horizontal="center" vertical="center" shrinkToFit="1"/>
    </xf>
    <xf numFmtId="0" fontId="33" fillId="9" borderId="0" xfId="0" applyFont="1" applyFill="1" applyAlignment="1">
      <alignment horizontal="center" vertical="center" shrinkToFit="1"/>
    </xf>
    <xf numFmtId="0" fontId="33" fillId="9" borderId="52" xfId="0" applyFont="1" applyFill="1" applyBorder="1" applyAlignment="1">
      <alignment horizontal="center" vertical="center" shrinkToFit="1"/>
    </xf>
    <xf numFmtId="0" fontId="33" fillId="10" borderId="54" xfId="0" applyFont="1" applyFill="1" applyBorder="1" applyAlignment="1">
      <alignment horizontal="center" vertical="center" shrinkToFit="1"/>
    </xf>
    <xf numFmtId="0" fontId="33" fillId="10" borderId="55" xfId="0" applyFont="1" applyFill="1" applyBorder="1" applyAlignment="1">
      <alignment horizontal="center" vertical="center" shrinkToFit="1"/>
    </xf>
    <xf numFmtId="165" fontId="29" fillId="13" borderId="6" xfId="0" applyNumberFormat="1" applyFont="1" applyFill="1" applyBorder="1" applyAlignment="1">
      <alignment horizontal="left" vertical="center" shrinkToFit="1"/>
    </xf>
    <xf numFmtId="165" fontId="29" fillId="13" borderId="4" xfId="0" applyNumberFormat="1" applyFont="1" applyFill="1" applyBorder="1" applyAlignment="1">
      <alignment horizontal="left" vertical="center" shrinkToFit="1"/>
    </xf>
    <xf numFmtId="165" fontId="4" fillId="13" borderId="6" xfId="0" applyNumberFormat="1" applyFont="1" applyFill="1" applyBorder="1" applyAlignment="1">
      <alignment horizontal="center" vertical="center" shrinkToFit="1"/>
    </xf>
    <xf numFmtId="165" fontId="4" fillId="13" borderId="4" xfId="0" applyNumberFormat="1" applyFont="1" applyFill="1" applyBorder="1" applyAlignment="1">
      <alignment horizontal="center" vertical="center" shrinkToFit="1"/>
    </xf>
    <xf numFmtId="2" fontId="29" fillId="13" borderId="6" xfId="0" applyNumberFormat="1" applyFont="1" applyFill="1" applyBorder="1" applyAlignment="1">
      <alignment horizontal="left" vertical="center" shrinkToFit="1"/>
    </xf>
    <xf numFmtId="2" fontId="29" fillId="13" borderId="4" xfId="0" applyNumberFormat="1" applyFont="1" applyFill="1" applyBorder="1" applyAlignment="1">
      <alignment horizontal="left" vertical="center" shrinkToFit="1"/>
    </xf>
    <xf numFmtId="0" fontId="34" fillId="8" borderId="33" xfId="0" applyFont="1" applyFill="1" applyBorder="1" applyAlignment="1">
      <alignment horizontal="center" vertical="center" shrinkToFit="1"/>
    </xf>
    <xf numFmtId="0" fontId="33" fillId="8" borderId="33" xfId="0" applyFont="1" applyFill="1" applyBorder="1" applyAlignment="1">
      <alignment horizontal="center" vertical="center" shrinkToFit="1"/>
    </xf>
    <xf numFmtId="0" fontId="60" fillId="8" borderId="6" xfId="0" applyFont="1" applyFill="1" applyBorder="1" applyAlignment="1">
      <alignment horizontal="center" vertical="center" shrinkToFit="1"/>
    </xf>
    <xf numFmtId="0" fontId="60" fillId="8" borderId="0" xfId="0" applyFont="1" applyFill="1" applyAlignment="1">
      <alignment horizontal="center" vertical="center" shrinkToFit="1"/>
    </xf>
    <xf numFmtId="0" fontId="60" fillId="8" borderId="4" xfId="0" applyFont="1" applyFill="1" applyBorder="1" applyAlignment="1">
      <alignment horizontal="center" vertical="center" shrinkToFit="1"/>
    </xf>
    <xf numFmtId="165" fontId="60" fillId="8" borderId="6" xfId="0" applyNumberFormat="1" applyFont="1" applyFill="1" applyBorder="1" applyAlignment="1">
      <alignment horizontal="center" vertical="center" shrinkToFit="1"/>
    </xf>
    <xf numFmtId="165" fontId="60" fillId="8" borderId="0" xfId="0" applyNumberFormat="1" applyFont="1" applyFill="1" applyAlignment="1">
      <alignment horizontal="center" vertical="center" shrinkToFit="1"/>
    </xf>
    <xf numFmtId="165" fontId="60" fillId="8" borderId="4" xfId="0" applyNumberFormat="1" applyFont="1" applyFill="1" applyBorder="1" applyAlignment="1">
      <alignment horizontal="center" vertical="center" shrinkToFit="1"/>
    </xf>
    <xf numFmtId="2" fontId="26" fillId="13" borderId="29" xfId="0" applyNumberFormat="1" applyFont="1" applyFill="1" applyBorder="1" applyAlignment="1">
      <alignment horizontal="center" vertical="center" shrinkToFit="1"/>
    </xf>
    <xf numFmtId="2" fontId="26" fillId="13" borderId="9" xfId="0" applyNumberFormat="1" applyFont="1" applyFill="1" applyBorder="1" applyAlignment="1">
      <alignment horizontal="center" vertical="center" shrinkToFit="1"/>
    </xf>
    <xf numFmtId="0" fontId="26" fillId="13" borderId="29" xfId="0" applyFont="1" applyFill="1" applyBorder="1" applyAlignment="1">
      <alignment horizontal="right" vertical="center" shrinkToFit="1"/>
    </xf>
    <xf numFmtId="0" fontId="26" fillId="13" borderId="9" xfId="0" applyFont="1" applyFill="1" applyBorder="1" applyAlignment="1">
      <alignment horizontal="right" vertical="center" shrinkToFit="1"/>
    </xf>
    <xf numFmtId="0" fontId="24" fillId="14" borderId="61" xfId="0" applyFont="1" applyFill="1" applyBorder="1" applyAlignment="1">
      <alignment horizontal="center" vertical="center" shrinkToFit="1"/>
    </xf>
    <xf numFmtId="0" fontId="24" fillId="14" borderId="27" xfId="0" applyFont="1" applyFill="1" applyBorder="1" applyAlignment="1">
      <alignment horizontal="center" vertical="center" shrinkToFit="1"/>
    </xf>
    <xf numFmtId="0" fontId="24" fillId="14" borderId="32" xfId="0" applyFont="1" applyFill="1" applyBorder="1" applyAlignment="1">
      <alignment horizontal="center" vertical="center" shrinkToFit="1"/>
    </xf>
    <xf numFmtId="0" fontId="24" fillId="14" borderId="62" xfId="0" applyFont="1" applyFill="1" applyBorder="1" applyAlignment="1">
      <alignment horizontal="center" vertical="center" shrinkToFit="1"/>
    </xf>
    <xf numFmtId="2" fontId="26" fillId="13" borderId="29" xfId="0" applyNumberFormat="1" applyFont="1" applyFill="1" applyBorder="1" applyAlignment="1">
      <alignment horizontal="left" vertical="center" shrinkToFit="1"/>
    </xf>
    <xf numFmtId="2" fontId="26" fillId="13" borderId="9" xfId="0" applyNumberFormat="1" applyFont="1" applyFill="1" applyBorder="1" applyAlignment="1">
      <alignment horizontal="left" vertical="center" shrinkToFit="1"/>
    </xf>
    <xf numFmtId="0" fontId="26" fillId="13" borderId="0" xfId="0" applyFont="1" applyFill="1" applyAlignment="1">
      <alignment horizontal="right" vertical="center" readingOrder="1"/>
    </xf>
    <xf numFmtId="0" fontId="26" fillId="13" borderId="0" xfId="0" applyFont="1" applyFill="1" applyAlignment="1">
      <alignment horizontal="right" readingOrder="1"/>
    </xf>
    <xf numFmtId="0" fontId="20" fillId="13" borderId="30" xfId="0" applyFont="1" applyFill="1" applyBorder="1" applyAlignment="1">
      <alignment horizontal="left" vertical="center" shrinkToFit="1"/>
    </xf>
    <xf numFmtId="0" fontId="20" fillId="13" borderId="6" xfId="0" applyFont="1" applyFill="1" applyBorder="1" applyAlignment="1">
      <alignment horizontal="left" vertical="center" shrinkToFit="1"/>
    </xf>
    <xf numFmtId="0" fontId="20" fillId="13" borderId="3" xfId="0" applyFont="1" applyFill="1" applyBorder="1" applyAlignment="1">
      <alignment horizontal="left" vertical="center" shrinkToFit="1"/>
    </xf>
    <xf numFmtId="0" fontId="20" fillId="13" borderId="4" xfId="0" applyFont="1" applyFill="1" applyBorder="1" applyAlignment="1">
      <alignment horizontal="left" vertical="center" shrinkToFit="1"/>
    </xf>
    <xf numFmtId="0" fontId="32" fillId="13" borderId="6" xfId="0" applyFont="1" applyFill="1" applyBorder="1" applyAlignment="1">
      <alignment horizontal="center" readingOrder="1"/>
    </xf>
    <xf numFmtId="0" fontId="32" fillId="13" borderId="4" xfId="0" applyFont="1" applyFill="1" applyBorder="1" applyAlignment="1">
      <alignment horizontal="center" readingOrder="1"/>
    </xf>
    <xf numFmtId="0" fontId="39" fillId="9" borderId="74" xfId="0" applyFont="1" applyFill="1" applyBorder="1" applyAlignment="1">
      <alignment horizontal="center" vertical="center" shrinkToFit="1" readingOrder="2"/>
    </xf>
    <xf numFmtId="0" fontId="39" fillId="9" borderId="26" xfId="0" applyFont="1" applyFill="1" applyBorder="1" applyAlignment="1">
      <alignment horizontal="center" vertical="center" shrinkToFit="1" readingOrder="2"/>
    </xf>
    <xf numFmtId="0" fontId="39" fillId="9" borderId="75" xfId="0" applyFont="1" applyFill="1" applyBorder="1" applyAlignment="1">
      <alignment horizontal="center" vertical="center" shrinkToFit="1" readingOrder="2"/>
    </xf>
    <xf numFmtId="0" fontId="34" fillId="9" borderId="51" xfId="0" applyFont="1" applyFill="1" applyBorder="1" applyAlignment="1">
      <alignment horizontal="center" vertical="center" shrinkToFit="1"/>
    </xf>
    <xf numFmtId="0" fontId="34" fillId="9" borderId="53" xfId="0" applyFont="1" applyFill="1" applyBorder="1" applyAlignment="1">
      <alignment horizontal="center" vertical="center" shrinkToFit="1"/>
    </xf>
    <xf numFmtId="0" fontId="122" fillId="8" borderId="6" xfId="0" applyFont="1" applyFill="1" applyBorder="1" applyAlignment="1">
      <alignment horizontal="center" vertical="center" shrinkToFit="1"/>
    </xf>
    <xf numFmtId="0" fontId="122" fillId="8" borderId="0" xfId="0" applyFont="1" applyFill="1" applyAlignment="1">
      <alignment horizontal="center" vertical="center" shrinkToFit="1"/>
    </xf>
    <xf numFmtId="0" fontId="122" fillId="8" borderId="4" xfId="0" applyFont="1" applyFill="1" applyBorder="1" applyAlignment="1">
      <alignment horizontal="center" vertical="center" shrinkToFit="1"/>
    </xf>
    <xf numFmtId="0" fontId="38" fillId="9" borderId="74" xfId="0" applyFont="1" applyFill="1" applyBorder="1" applyAlignment="1">
      <alignment horizontal="center" vertical="center" shrinkToFit="1" readingOrder="2"/>
    </xf>
    <xf numFmtId="0" fontId="38" fillId="9" borderId="26" xfId="0" applyFont="1" applyFill="1" applyBorder="1" applyAlignment="1">
      <alignment horizontal="center" vertical="center" shrinkToFit="1" readingOrder="2"/>
    </xf>
    <xf numFmtId="0" fontId="38" fillId="9" borderId="75" xfId="0" applyFont="1" applyFill="1" applyBorder="1" applyAlignment="1">
      <alignment horizontal="center" vertical="center" shrinkToFit="1" readingOrder="2"/>
    </xf>
    <xf numFmtId="0" fontId="11" fillId="7" borderId="41" xfId="0" applyFont="1" applyFill="1" applyBorder="1" applyAlignment="1">
      <alignment horizontal="center" vertical="center" shrinkToFit="1"/>
    </xf>
    <xf numFmtId="0" fontId="11" fillId="7" borderId="42" xfId="0" applyFont="1" applyFill="1" applyBorder="1" applyAlignment="1">
      <alignment horizontal="center" vertical="center" shrinkToFit="1"/>
    </xf>
    <xf numFmtId="0" fontId="11" fillId="7" borderId="39" xfId="0" applyFont="1" applyFill="1" applyBorder="1" applyAlignment="1">
      <alignment horizontal="center" vertical="center" shrinkToFit="1"/>
    </xf>
    <xf numFmtId="2" fontId="26" fillId="13" borderId="29" xfId="0" applyNumberFormat="1" applyFont="1" applyFill="1" applyBorder="1" applyAlignment="1">
      <alignment horizontal="left" shrinkToFit="1"/>
    </xf>
    <xf numFmtId="2" fontId="26" fillId="13" borderId="9" xfId="0" applyNumberFormat="1" applyFont="1" applyFill="1" applyBorder="1" applyAlignment="1">
      <alignment horizontal="left" shrinkToFit="1"/>
    </xf>
    <xf numFmtId="2" fontId="26" fillId="13" borderId="29" xfId="0" applyNumberFormat="1" applyFont="1" applyFill="1" applyBorder="1" applyAlignment="1">
      <alignment horizontal="center" shrinkToFit="1"/>
    </xf>
    <xf numFmtId="2" fontId="26" fillId="13" borderId="9" xfId="0" applyNumberFormat="1" applyFont="1" applyFill="1" applyBorder="1" applyAlignment="1">
      <alignment horizontal="center" shrinkToFit="1"/>
    </xf>
    <xf numFmtId="0" fontId="26" fillId="13" borderId="29" xfId="0" applyFont="1" applyFill="1" applyBorder="1" applyAlignment="1">
      <alignment horizontal="right" shrinkToFit="1"/>
    </xf>
    <xf numFmtId="0" fontId="26" fillId="13" borderId="9" xfId="0" applyFont="1" applyFill="1" applyBorder="1" applyAlignment="1">
      <alignment horizontal="right" shrinkToFit="1"/>
    </xf>
    <xf numFmtId="165" fontId="60" fillId="8" borderId="6" xfId="0" applyNumberFormat="1" applyFont="1" applyFill="1" applyBorder="1" applyAlignment="1">
      <alignment horizontal="left" vertical="center" shrinkToFit="1"/>
    </xf>
    <xf numFmtId="165" fontId="60" fillId="8" borderId="0" xfId="0" applyNumberFormat="1" applyFont="1" applyFill="1" applyAlignment="1">
      <alignment horizontal="left" vertical="center" shrinkToFit="1"/>
    </xf>
    <xf numFmtId="165" fontId="60" fillId="8" borderId="4" xfId="0" applyNumberFormat="1" applyFont="1" applyFill="1" applyBorder="1" applyAlignment="1">
      <alignment horizontal="left" vertical="center" shrinkToFit="1"/>
    </xf>
    <xf numFmtId="2" fontId="36" fillId="8" borderId="6" xfId="0" applyNumberFormat="1" applyFont="1" applyFill="1" applyBorder="1" applyAlignment="1">
      <alignment horizontal="left" vertical="center" shrinkToFit="1"/>
    </xf>
    <xf numFmtId="2" fontId="36" fillId="8" borderId="0" xfId="0" applyNumberFormat="1" applyFont="1" applyFill="1" applyAlignment="1">
      <alignment horizontal="left" vertical="center" shrinkToFit="1"/>
    </xf>
    <xf numFmtId="2" fontId="36" fillId="8" borderId="4" xfId="0" applyNumberFormat="1" applyFont="1" applyFill="1" applyBorder="1" applyAlignment="1">
      <alignment horizontal="left" vertical="center" shrinkToFit="1"/>
    </xf>
    <xf numFmtId="0" fontId="10" fillId="0" borderId="0" xfId="0" applyFont="1" applyAlignment="1">
      <alignment horizontal="center" vertical="center" shrinkToFit="1"/>
    </xf>
    <xf numFmtId="0" fontId="6" fillId="7" borderId="67" xfId="0" applyFont="1" applyFill="1" applyBorder="1" applyAlignment="1">
      <alignment horizontal="center" vertical="center" shrinkToFit="1"/>
    </xf>
    <xf numFmtId="0" fontId="6" fillId="7" borderId="69" xfId="0" applyFont="1" applyFill="1" applyBorder="1" applyAlignment="1">
      <alignment horizontal="center" vertical="center" shrinkToFit="1"/>
    </xf>
    <xf numFmtId="0" fontId="6" fillId="7" borderId="70" xfId="0" applyFont="1" applyFill="1" applyBorder="1" applyAlignment="1">
      <alignment horizontal="center" vertical="center" shrinkToFit="1"/>
    </xf>
    <xf numFmtId="0" fontId="6" fillId="7" borderId="58" xfId="0" applyFont="1" applyFill="1" applyBorder="1" applyAlignment="1">
      <alignment horizontal="center" vertical="center" shrinkToFit="1"/>
    </xf>
    <xf numFmtId="0" fontId="2" fillId="6" borderId="8" xfId="0" applyFont="1" applyFill="1" applyBorder="1" applyAlignment="1" applyProtection="1">
      <alignment horizontal="center" vertical="center" shrinkToFit="1"/>
      <protection locked="0"/>
    </xf>
    <xf numFmtId="0" fontId="2" fillId="6" borderId="68" xfId="0" applyFont="1" applyFill="1" applyBorder="1" applyAlignment="1" applyProtection="1">
      <alignment horizontal="center" vertical="center" shrinkToFit="1"/>
      <protection locked="0"/>
    </xf>
    <xf numFmtId="0" fontId="2" fillId="7" borderId="8" xfId="0" applyFont="1" applyFill="1" applyBorder="1" applyAlignment="1">
      <alignment horizontal="right" vertical="center" wrapText="1" shrinkToFit="1"/>
    </xf>
    <xf numFmtId="0" fontId="6" fillId="7" borderId="8" xfId="0" applyFont="1" applyFill="1" applyBorder="1" applyAlignment="1">
      <alignment horizontal="right" vertical="center" shrinkToFit="1"/>
    </xf>
    <xf numFmtId="2" fontId="2" fillId="6" borderId="8" xfId="0" applyNumberFormat="1" applyFont="1" applyFill="1" applyBorder="1" applyAlignment="1" applyProtection="1">
      <alignment horizontal="center" vertical="center" shrinkToFit="1"/>
      <protection locked="0"/>
    </xf>
    <xf numFmtId="2" fontId="2" fillId="6" borderId="68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8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68" xfId="0" applyNumberFormat="1" applyFont="1" applyFill="1" applyBorder="1" applyAlignment="1" applyProtection="1">
      <alignment horizontal="center" vertical="center" shrinkToFit="1"/>
      <protection locked="0"/>
    </xf>
    <xf numFmtId="0" fontId="6" fillId="7" borderId="13" xfId="0" applyFont="1" applyFill="1" applyBorder="1" applyAlignment="1">
      <alignment horizontal="center" vertical="center" shrinkToFit="1"/>
    </xf>
    <xf numFmtId="0" fontId="6" fillId="7" borderId="65" xfId="0" applyFont="1" applyFill="1" applyBorder="1" applyAlignment="1">
      <alignment horizontal="center" vertical="center" shrinkToFit="1"/>
    </xf>
    <xf numFmtId="0" fontId="7" fillId="7" borderId="14" xfId="0" applyFont="1" applyFill="1" applyBorder="1" applyAlignment="1">
      <alignment horizontal="center" vertical="center" shrinkToFit="1"/>
    </xf>
    <xf numFmtId="0" fontId="7" fillId="7" borderId="8" xfId="0" applyFont="1" applyFill="1" applyBorder="1" applyAlignment="1">
      <alignment horizontal="center" vertical="center" shrinkToFit="1"/>
    </xf>
    <xf numFmtId="0" fontId="7" fillId="7" borderId="12" xfId="0" applyFont="1" applyFill="1" applyBorder="1" applyAlignment="1">
      <alignment horizontal="center" vertical="center" shrinkToFit="1"/>
    </xf>
    <xf numFmtId="0" fontId="4" fillId="3" borderId="3" xfId="1" applyFont="1" applyFill="1" applyBorder="1" applyAlignment="1" applyProtection="1">
      <alignment horizontal="left" vertical="center" shrinkToFit="1"/>
    </xf>
    <xf numFmtId="0" fontId="4" fillId="3" borderId="4" xfId="1" applyFont="1" applyFill="1" applyBorder="1" applyAlignment="1" applyProtection="1">
      <alignment horizontal="left" vertical="center" shrinkToFit="1"/>
    </xf>
    <xf numFmtId="0" fontId="37" fillId="3" borderId="47" xfId="0" applyFont="1" applyFill="1" applyBorder="1" applyAlignment="1">
      <alignment horizontal="center" vertical="center" shrinkToFit="1"/>
    </xf>
    <xf numFmtId="0" fontId="37" fillId="3" borderId="43" xfId="0" applyFont="1" applyFill="1" applyBorder="1" applyAlignment="1">
      <alignment horizontal="center" vertical="center" shrinkToFit="1"/>
    </xf>
    <xf numFmtId="0" fontId="37" fillId="3" borderId="44" xfId="0" applyFont="1" applyFill="1" applyBorder="1" applyAlignment="1">
      <alignment horizontal="center" vertical="center" shrinkToFit="1"/>
    </xf>
    <xf numFmtId="0" fontId="37" fillId="3" borderId="1" xfId="0" applyFont="1" applyFill="1" applyBorder="1" applyAlignment="1">
      <alignment horizontal="center" vertical="center" shrinkToFit="1"/>
    </xf>
    <xf numFmtId="0" fontId="37" fillId="3" borderId="0" xfId="0" applyFont="1" applyFill="1" applyAlignment="1">
      <alignment horizontal="center" vertical="center" shrinkToFit="1"/>
    </xf>
    <xf numFmtId="0" fontId="37" fillId="3" borderId="29" xfId="0" applyFont="1" applyFill="1" applyBorder="1" applyAlignment="1">
      <alignment horizontal="center" vertical="center" shrinkToFit="1"/>
    </xf>
    <xf numFmtId="0" fontId="13" fillId="4" borderId="48" xfId="0" applyFont="1" applyFill="1" applyBorder="1" applyAlignment="1">
      <alignment horizontal="center" vertical="center" shrinkToFit="1"/>
    </xf>
    <xf numFmtId="0" fontId="13" fillId="4" borderId="49" xfId="0" applyFont="1" applyFill="1" applyBorder="1" applyAlignment="1">
      <alignment horizontal="center" vertical="center" shrinkToFit="1"/>
    </xf>
    <xf numFmtId="0" fontId="13" fillId="4" borderId="50" xfId="0" applyFont="1" applyFill="1" applyBorder="1" applyAlignment="1">
      <alignment horizontal="center" vertical="center" shrinkToFit="1"/>
    </xf>
    <xf numFmtId="0" fontId="13" fillId="4" borderId="63" xfId="0" applyFont="1" applyFill="1" applyBorder="1" applyAlignment="1">
      <alignment horizontal="center" vertical="center" shrinkToFit="1"/>
    </xf>
    <xf numFmtId="0" fontId="13" fillId="4" borderId="4" xfId="0" applyFont="1" applyFill="1" applyBorder="1" applyAlignment="1">
      <alignment horizontal="center" vertical="center" shrinkToFit="1"/>
    </xf>
    <xf numFmtId="0" fontId="13" fillId="4" borderId="64" xfId="0" applyFont="1" applyFill="1" applyBorder="1" applyAlignment="1">
      <alignment horizontal="center" vertical="center" shrinkToFit="1"/>
    </xf>
    <xf numFmtId="0" fontId="4" fillId="0" borderId="49" xfId="0" applyFont="1" applyBorder="1" applyAlignment="1">
      <alignment horizontal="center" shrinkToFit="1"/>
    </xf>
    <xf numFmtId="0" fontId="40" fillId="0" borderId="0" xfId="0" applyFont="1" applyAlignment="1">
      <alignment horizontal="center" vertical="center" shrinkToFit="1"/>
    </xf>
    <xf numFmtId="2" fontId="26" fillId="13" borderId="0" xfId="0" applyNumberFormat="1" applyFont="1" applyFill="1" applyAlignment="1">
      <alignment horizontal="left" vertical="center" shrinkToFit="1"/>
    </xf>
    <xf numFmtId="2" fontId="26" fillId="13" borderId="0" xfId="0" applyNumberFormat="1" applyFont="1" applyFill="1" applyAlignment="1">
      <alignment horizontal="left" vertical="center" wrapText="1" shrinkToFit="1"/>
    </xf>
    <xf numFmtId="2" fontId="26" fillId="13" borderId="6" xfId="0" applyNumberFormat="1" applyFont="1" applyFill="1" applyBorder="1" applyAlignment="1">
      <alignment horizontal="left" shrinkToFit="1"/>
    </xf>
    <xf numFmtId="164" fontId="29" fillId="13" borderId="6" xfId="0" applyNumberFormat="1" applyFont="1" applyFill="1" applyBorder="1" applyAlignment="1">
      <alignment horizontal="left" vertical="center"/>
    </xf>
    <xf numFmtId="164" fontId="29" fillId="13" borderId="4" xfId="0" applyNumberFormat="1" applyFont="1" applyFill="1" applyBorder="1" applyAlignment="1">
      <alignment horizontal="left" vertical="center"/>
    </xf>
    <xf numFmtId="0" fontId="13" fillId="15" borderId="0" xfId="0" applyFont="1" applyFill="1" applyAlignment="1">
      <alignment horizontal="center" vertical="center" shrinkToFit="1"/>
    </xf>
    <xf numFmtId="0" fontId="16" fillId="3" borderId="4" xfId="1" applyFont="1" applyFill="1" applyBorder="1" applyAlignment="1" applyProtection="1">
      <alignment horizontal="center" vertical="center" shrinkToFit="1"/>
    </xf>
    <xf numFmtId="49" fontId="4" fillId="3" borderId="4" xfId="0" applyNumberFormat="1" applyFont="1" applyFill="1" applyBorder="1" applyAlignment="1">
      <alignment horizontal="center" vertical="top" shrinkToFit="1"/>
    </xf>
    <xf numFmtId="0" fontId="4" fillId="3" borderId="15" xfId="0" applyFont="1" applyFill="1" applyBorder="1" applyAlignment="1">
      <alignment horizontal="center" wrapText="1" shrinkToFit="1"/>
    </xf>
    <xf numFmtId="0" fontId="4" fillId="3" borderId="4" xfId="0" applyFont="1" applyFill="1" applyBorder="1" applyAlignment="1">
      <alignment horizontal="center" wrapText="1" shrinkToFit="1"/>
    </xf>
    <xf numFmtId="0" fontId="4" fillId="3" borderId="5" xfId="0" applyFont="1" applyFill="1" applyBorder="1" applyAlignment="1">
      <alignment horizontal="center" wrapText="1" shrinkToFit="1"/>
    </xf>
    <xf numFmtId="2" fontId="26" fillId="8" borderId="29" xfId="0" applyNumberFormat="1" applyFont="1" applyFill="1" applyBorder="1" applyAlignment="1">
      <alignment horizontal="center" vertical="center" shrinkToFit="1"/>
    </xf>
    <xf numFmtId="2" fontId="26" fillId="8" borderId="9" xfId="0" applyNumberFormat="1" applyFont="1" applyFill="1" applyBorder="1" applyAlignment="1">
      <alignment horizontal="center" vertical="center" shrinkToFit="1"/>
    </xf>
    <xf numFmtId="2" fontId="26" fillId="8" borderId="29" xfId="0" applyNumberFormat="1" applyFont="1" applyFill="1" applyBorder="1" applyAlignment="1">
      <alignment horizontal="center" vertical="center" wrapText="1" shrinkToFit="1"/>
    </xf>
    <xf numFmtId="2" fontId="26" fillId="8" borderId="9" xfId="0" applyNumberFormat="1" applyFont="1" applyFill="1" applyBorder="1" applyAlignment="1">
      <alignment horizontal="center" vertical="center" wrapText="1" shrinkToFit="1"/>
    </xf>
    <xf numFmtId="0" fontId="26" fillId="8" borderId="29" xfId="0" applyFont="1" applyFill="1" applyBorder="1" applyAlignment="1">
      <alignment horizontal="right" vertical="center" shrinkToFit="1"/>
    </xf>
    <xf numFmtId="0" fontId="26" fillId="8" borderId="9" xfId="0" applyFont="1" applyFill="1" applyBorder="1" applyAlignment="1">
      <alignment horizontal="right" vertical="center" shrinkToFit="1"/>
    </xf>
    <xf numFmtId="0" fontId="40" fillId="0" borderId="0" xfId="0" applyFont="1" applyAlignment="1" applyProtection="1">
      <alignment horizontal="center" vertical="center" shrinkToFit="1"/>
      <protection locked="0"/>
    </xf>
    <xf numFmtId="0" fontId="105" fillId="0" borderId="0" xfId="0" applyFont="1" applyAlignment="1" applyProtection="1">
      <alignment horizontal="center" vertical="center" shrinkToFit="1"/>
      <protection locked="0"/>
    </xf>
    <xf numFmtId="0" fontId="121" fillId="0" borderId="103" xfId="0" applyFont="1" applyBorder="1" applyAlignment="1">
      <alignment horizontal="center" vertical="center" shrinkToFit="1"/>
    </xf>
    <xf numFmtId="0" fontId="121" fillId="0" borderId="104" xfId="0" applyFont="1" applyBorder="1" applyAlignment="1">
      <alignment horizontal="center" vertical="center" shrinkToFit="1"/>
    </xf>
    <xf numFmtId="0" fontId="97" fillId="0" borderId="0" xfId="0" applyFont="1" applyAlignment="1">
      <alignment horizontal="right" vertical="center" readingOrder="1"/>
    </xf>
    <xf numFmtId="0" fontId="15" fillId="0" borderId="99" xfId="0" applyFont="1" applyBorder="1" applyAlignment="1">
      <alignment horizontal="center" shrinkToFit="1"/>
    </xf>
    <xf numFmtId="0" fontId="15" fillId="0" borderId="101" xfId="0" applyFont="1" applyBorder="1" applyAlignment="1">
      <alignment horizontal="center" shrinkToFit="1"/>
    </xf>
    <xf numFmtId="0" fontId="4" fillId="0" borderId="84" xfId="0" applyFont="1" applyBorder="1" applyAlignment="1">
      <alignment horizontal="center" shrinkToFit="1"/>
    </xf>
    <xf numFmtId="0" fontId="4" fillId="0" borderId="94" xfId="0" applyFont="1" applyBorder="1" applyAlignment="1">
      <alignment horizontal="center" shrinkToFit="1"/>
    </xf>
    <xf numFmtId="0" fontId="13" fillId="26" borderId="86" xfId="0" applyFont="1" applyFill="1" applyBorder="1" applyAlignment="1">
      <alignment horizontal="center" vertical="center" readingOrder="2"/>
    </xf>
    <xf numFmtId="0" fontId="13" fillId="26" borderId="87" xfId="0" applyFont="1" applyFill="1" applyBorder="1" applyAlignment="1">
      <alignment horizontal="center" vertical="center" readingOrder="2"/>
    </xf>
    <xf numFmtId="0" fontId="13" fillId="26" borderId="88" xfId="0" applyFont="1" applyFill="1" applyBorder="1" applyAlignment="1">
      <alignment horizontal="center" vertical="center" readingOrder="2"/>
    </xf>
    <xf numFmtId="0" fontId="13" fillId="26" borderId="89" xfId="0" applyFont="1" applyFill="1" applyBorder="1" applyAlignment="1">
      <alignment horizontal="center" vertical="center" readingOrder="2"/>
    </xf>
    <xf numFmtId="0" fontId="13" fillId="26" borderId="84" xfId="0" applyFont="1" applyFill="1" applyBorder="1" applyAlignment="1">
      <alignment horizontal="center" vertical="center" readingOrder="2"/>
    </xf>
    <xf numFmtId="0" fontId="13" fillId="26" borderId="90" xfId="0" applyFont="1" applyFill="1" applyBorder="1" applyAlignment="1">
      <alignment horizontal="center" vertical="center" readingOrder="2"/>
    </xf>
    <xf numFmtId="0" fontId="6" fillId="0" borderId="85" xfId="0" applyFont="1" applyBorder="1" applyAlignment="1">
      <alignment horizontal="center" vertical="center" shrinkToFit="1"/>
    </xf>
    <xf numFmtId="0" fontId="6" fillId="0" borderId="91" xfId="0" applyFont="1" applyBorder="1" applyAlignment="1">
      <alignment horizontal="center" vertical="center" shrinkToFit="1"/>
    </xf>
    <xf numFmtId="0" fontId="6" fillId="0" borderId="84" xfId="0" applyFont="1" applyBorder="1" applyAlignment="1">
      <alignment horizontal="center" vertical="center" shrinkToFit="1"/>
    </xf>
    <xf numFmtId="0" fontId="6" fillId="0" borderId="90" xfId="0" applyFont="1" applyBorder="1" applyAlignment="1">
      <alignment horizontal="center" vertical="center" shrinkToFit="1"/>
    </xf>
    <xf numFmtId="0" fontId="37" fillId="0" borderId="89" xfId="0" applyFont="1" applyBorder="1" applyAlignment="1">
      <alignment horizontal="center" vertical="center" readingOrder="2"/>
    </xf>
    <xf numFmtId="0" fontId="37" fillId="0" borderId="84" xfId="0" applyFont="1" applyBorder="1" applyAlignment="1">
      <alignment horizontal="center" vertical="center" readingOrder="2"/>
    </xf>
    <xf numFmtId="0" fontId="71" fillId="0" borderId="103" xfId="0" applyFont="1" applyBorder="1" applyAlignment="1">
      <alignment horizontal="center"/>
    </xf>
    <xf numFmtId="0" fontId="71" fillId="0" borderId="82" xfId="0" applyFont="1" applyBorder="1" applyAlignment="1">
      <alignment horizontal="center"/>
    </xf>
    <xf numFmtId="0" fontId="4" fillId="0" borderId="96" xfId="0" applyFont="1" applyBorder="1" applyAlignment="1">
      <alignment horizontal="center" shrinkToFit="1"/>
    </xf>
    <xf numFmtId="0" fontId="4" fillId="0" borderId="97" xfId="0" applyFont="1" applyBorder="1" applyAlignment="1">
      <alignment horizontal="center" shrinkToFit="1"/>
    </xf>
    <xf numFmtId="0" fontId="92" fillId="0" borderId="99" xfId="0" applyFont="1" applyBorder="1" applyAlignment="1">
      <alignment horizontal="center"/>
    </xf>
    <xf numFmtId="0" fontId="92" fillId="0" borderId="101" xfId="0" applyFont="1" applyBorder="1" applyAlignment="1">
      <alignment horizontal="center"/>
    </xf>
    <xf numFmtId="0" fontId="71" fillId="0" borderId="96" xfId="0" applyFont="1" applyBorder="1" applyAlignment="1">
      <alignment horizontal="center" readingOrder="1"/>
    </xf>
    <xf numFmtId="0" fontId="71" fillId="0" borderId="97" xfId="0" applyFont="1" applyBorder="1" applyAlignment="1">
      <alignment horizontal="center" readingOrder="1"/>
    </xf>
    <xf numFmtId="0" fontId="105" fillId="26" borderId="86" xfId="0" applyFont="1" applyFill="1" applyBorder="1" applyAlignment="1">
      <alignment horizontal="center" vertical="center" shrinkToFit="1"/>
    </xf>
    <xf numFmtId="0" fontId="105" fillId="26" borderId="87" xfId="0" applyFont="1" applyFill="1" applyBorder="1" applyAlignment="1">
      <alignment horizontal="center" vertical="center" shrinkToFit="1"/>
    </xf>
    <xf numFmtId="0" fontId="105" fillId="26" borderId="88" xfId="0" applyFont="1" applyFill="1" applyBorder="1" applyAlignment="1">
      <alignment horizontal="center" vertical="center" shrinkToFit="1"/>
    </xf>
    <xf numFmtId="0" fontId="105" fillId="26" borderId="89" xfId="0" applyFont="1" applyFill="1" applyBorder="1" applyAlignment="1">
      <alignment horizontal="center" vertical="center" shrinkToFit="1"/>
    </xf>
    <xf numFmtId="0" fontId="105" fillId="26" borderId="84" xfId="0" applyFont="1" applyFill="1" applyBorder="1" applyAlignment="1">
      <alignment horizontal="center" vertical="center" shrinkToFit="1"/>
    </xf>
    <xf numFmtId="0" fontId="105" fillId="26" borderId="94" xfId="0" applyFont="1" applyFill="1" applyBorder="1" applyAlignment="1">
      <alignment horizontal="center" vertical="center" shrinkToFit="1"/>
    </xf>
    <xf numFmtId="0" fontId="105" fillId="26" borderId="95" xfId="0" applyFont="1" applyFill="1" applyBorder="1" applyAlignment="1">
      <alignment horizontal="center" vertical="center" shrinkToFit="1"/>
    </xf>
    <xf numFmtId="0" fontId="118" fillId="0" borderId="0" xfId="0" applyFont="1" applyAlignment="1">
      <alignment horizontal="center" vertical="center" shrinkToFit="1"/>
    </xf>
    <xf numFmtId="167" fontId="29" fillId="0" borderId="0" xfId="0" applyNumberFormat="1" applyFont="1" applyAlignment="1">
      <alignment horizontal="left" vertical="center" shrinkToFit="1"/>
    </xf>
    <xf numFmtId="0" fontId="37" fillId="0" borderId="0" xfId="0" applyFont="1" applyAlignment="1">
      <alignment horizontal="right" vertical="center" shrinkToFit="1"/>
    </xf>
    <xf numFmtId="0" fontId="50" fillId="0" borderId="0" xfId="0" applyFont="1" applyAlignment="1">
      <alignment horizontal="right" vertical="center"/>
    </xf>
    <xf numFmtId="165" fontId="74" fillId="0" borderId="0" xfId="0" applyNumberFormat="1" applyFont="1" applyAlignment="1">
      <alignment horizontal="left" vertical="center" shrinkToFit="1"/>
    </xf>
    <xf numFmtId="0" fontId="65" fillId="0" borderId="0" xfId="0" applyFont="1" applyAlignment="1">
      <alignment horizontal="center" vertical="center" shrinkToFit="1"/>
    </xf>
    <xf numFmtId="0" fontId="72" fillId="0" borderId="0" xfId="0" applyFont="1" applyAlignment="1">
      <alignment horizontal="center" vertical="center" shrinkToFit="1"/>
    </xf>
    <xf numFmtId="165" fontId="72" fillId="0" borderId="0" xfId="0" applyNumberFormat="1" applyFont="1" applyAlignment="1">
      <alignment horizontal="center" vertical="center" shrinkToFit="1"/>
    </xf>
    <xf numFmtId="0" fontId="18" fillId="0" borderId="0" xfId="0" applyFont="1" applyAlignment="1">
      <alignment horizontal="right" vertical="center" shrinkToFit="1"/>
    </xf>
    <xf numFmtId="164" fontId="29" fillId="0" borderId="0" xfId="0" applyNumberFormat="1" applyFont="1" applyAlignment="1">
      <alignment horizontal="left" vertical="center" shrinkToFit="1"/>
    </xf>
    <xf numFmtId="0" fontId="76" fillId="0" borderId="0" xfId="0" applyFont="1" applyAlignment="1">
      <alignment horizontal="center" vertical="center" shrinkToFit="1"/>
    </xf>
    <xf numFmtId="0" fontId="76" fillId="0" borderId="0" xfId="0" applyFont="1" applyAlignment="1">
      <alignment horizontal="left" vertical="center" shrinkToFit="1"/>
    </xf>
    <xf numFmtId="0" fontId="77" fillId="0" borderId="0" xfId="0" applyFont="1" applyAlignment="1">
      <alignment horizontal="left" vertical="center" shrinkToFit="1"/>
    </xf>
    <xf numFmtId="0" fontId="29" fillId="0" borderId="0" xfId="0" applyFont="1" applyAlignment="1">
      <alignment horizontal="center" vertical="center" shrinkToFit="1"/>
    </xf>
    <xf numFmtId="0" fontId="74" fillId="0" borderId="0" xfId="0" applyFont="1" applyAlignment="1">
      <alignment horizontal="right" vertical="center" shrinkToFit="1"/>
    </xf>
    <xf numFmtId="0" fontId="29" fillId="0" borderId="0" xfId="0" applyFont="1" applyAlignment="1">
      <alignment horizontal="right" vertical="center" shrinkToFit="1"/>
    </xf>
    <xf numFmtId="0" fontId="61" fillId="0" borderId="0" xfId="0" applyFont="1" applyAlignment="1">
      <alignment horizontal="right" vertical="center" shrinkToFit="1"/>
    </xf>
    <xf numFmtId="0" fontId="11" fillId="19" borderId="6" xfId="0" applyFont="1" applyFill="1" applyBorder="1" applyAlignment="1">
      <alignment horizontal="center" vertical="center" shrinkToFit="1"/>
    </xf>
    <xf numFmtId="0" fontId="11" fillId="19" borderId="4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left" vertical="center" shrinkToFit="1"/>
    </xf>
    <xf numFmtId="165" fontId="67" fillId="0" borderId="0" xfId="0" applyNumberFormat="1" applyFont="1" applyAlignment="1">
      <alignment horizontal="center" vertical="center" shrinkToFit="1"/>
    </xf>
    <xf numFmtId="165" fontId="29" fillId="0" borderId="0" xfId="0" applyNumberFormat="1" applyFont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29" fillId="0" borderId="0" xfId="0" applyFont="1" applyAlignment="1">
      <alignment horizontal="left" vertical="center" shrinkToFit="1"/>
    </xf>
    <xf numFmtId="0" fontId="31" fillId="0" borderId="0" xfId="0" applyFont="1" applyAlignment="1">
      <alignment horizontal="center" vertical="center" shrinkToFit="1"/>
    </xf>
    <xf numFmtId="0" fontId="11" fillId="19" borderId="0" xfId="0" applyFont="1" applyFill="1" applyAlignment="1">
      <alignment horizontal="center" vertical="center" shrinkToFit="1"/>
    </xf>
    <xf numFmtId="0" fontId="31" fillId="18" borderId="45" xfId="0" applyFont="1" applyFill="1" applyBorder="1" applyAlignment="1">
      <alignment horizontal="center" vertical="center" shrinkToFit="1"/>
    </xf>
    <xf numFmtId="0" fontId="31" fillId="18" borderId="0" xfId="0" applyFont="1" applyFill="1" applyAlignment="1">
      <alignment horizontal="center" vertical="center" shrinkToFit="1"/>
    </xf>
    <xf numFmtId="165" fontId="29" fillId="18" borderId="0" xfId="0" applyNumberFormat="1" applyFont="1" applyFill="1" applyAlignment="1">
      <alignment horizontal="center" vertical="center" shrinkToFit="1"/>
    </xf>
    <xf numFmtId="165" fontId="29" fillId="0" borderId="0" xfId="0" applyNumberFormat="1" applyFont="1" applyAlignment="1">
      <alignment horizontal="left" vertical="center" shrinkToFit="1"/>
    </xf>
    <xf numFmtId="0" fontId="62" fillId="0" borderId="0" xfId="0" applyFont="1" applyAlignment="1">
      <alignment horizontal="left" vertical="center" shrinkToFit="1"/>
    </xf>
    <xf numFmtId="164" fontId="29" fillId="0" borderId="0" xfId="0" applyNumberFormat="1" applyFont="1" applyAlignment="1">
      <alignment horizontal="center" vertical="center" shrinkToFit="1"/>
    </xf>
    <xf numFmtId="0" fontId="38" fillId="0" borderId="0" xfId="0" applyFont="1" applyAlignment="1">
      <alignment horizontal="center" vertical="center" shrinkToFit="1"/>
    </xf>
    <xf numFmtId="164" fontId="60" fillId="0" borderId="0" xfId="0" applyNumberFormat="1" applyFont="1" applyAlignment="1">
      <alignment horizontal="center" vertical="center" shrinkToFit="1"/>
    </xf>
    <xf numFmtId="168" fontId="36" fillId="0" borderId="0" xfId="0" applyNumberFormat="1" applyFont="1" applyAlignment="1">
      <alignment horizontal="center" vertical="center" shrinkToFit="1"/>
    </xf>
    <xf numFmtId="167" fontId="36" fillId="0" borderId="0" xfId="0" applyNumberFormat="1" applyFont="1" applyAlignment="1">
      <alignment horizontal="center" vertical="center" shrinkToFit="1"/>
    </xf>
    <xf numFmtId="0" fontId="97" fillId="0" borderId="0" xfId="0" applyFont="1" applyAlignment="1">
      <alignment horizontal="right" vertical="center" readingOrder="2"/>
    </xf>
    <xf numFmtId="165" fontId="97" fillId="0" borderId="0" xfId="0" applyNumberFormat="1" applyFont="1" applyAlignment="1">
      <alignment horizontal="left" vertical="center" shrinkToFit="1"/>
    </xf>
    <xf numFmtId="2" fontId="29" fillId="0" borderId="0" xfId="0" applyNumberFormat="1" applyFont="1" applyAlignment="1">
      <alignment horizontal="left" vertical="center" shrinkToFit="1"/>
    </xf>
    <xf numFmtId="0" fontId="31" fillId="0" borderId="0" xfId="0" applyFont="1" applyAlignment="1">
      <alignment horizontal="right" vertical="center" shrinkToFit="1"/>
    </xf>
    <xf numFmtId="168" fontId="97" fillId="0" borderId="0" xfId="0" applyNumberFormat="1" applyFont="1" applyAlignment="1">
      <alignment horizontal="center" vertical="center" shrinkToFit="1"/>
    </xf>
    <xf numFmtId="0" fontId="7" fillId="0" borderId="0" xfId="0" applyFont="1" applyAlignment="1">
      <alignment horizontal="right" vertical="center" wrapText="1" shrinkToFit="1"/>
    </xf>
    <xf numFmtId="0" fontId="7" fillId="0" borderId="0" xfId="0" applyFont="1" applyAlignment="1">
      <alignment horizontal="right" vertical="center" shrinkToFit="1"/>
    </xf>
    <xf numFmtId="0" fontId="69" fillId="0" borderId="0" xfId="0" applyFont="1" applyAlignment="1">
      <alignment horizontal="center" vertical="center" shrinkToFit="1"/>
    </xf>
    <xf numFmtId="0" fontId="70" fillId="0" borderId="0" xfId="0" applyFont="1" applyAlignment="1">
      <alignment horizontal="center" vertical="center" shrinkToFit="1"/>
    </xf>
    <xf numFmtId="168" fontId="29" fillId="0" borderId="0" xfId="0" applyNumberFormat="1" applyFont="1" applyAlignment="1">
      <alignment horizontal="left" vertical="center" shrinkToFit="1"/>
    </xf>
    <xf numFmtId="0" fontId="6" fillId="0" borderId="0" xfId="0" applyFont="1" applyAlignment="1">
      <alignment horizontal="right" vertical="center" shrinkToFit="1"/>
    </xf>
    <xf numFmtId="0" fontId="39" fillId="0" borderId="0" xfId="0" applyFont="1" applyAlignment="1">
      <alignment horizontal="center" vertical="center" shrinkToFit="1"/>
    </xf>
    <xf numFmtId="0" fontId="73" fillId="0" borderId="0" xfId="0" applyFont="1" applyAlignment="1">
      <alignment horizontal="right" vertical="center" shrinkToFit="1"/>
    </xf>
    <xf numFmtId="0" fontId="36" fillId="0" borderId="0" xfId="0" applyFont="1" applyAlignment="1">
      <alignment horizontal="center" vertical="center" shrinkToFit="1"/>
    </xf>
    <xf numFmtId="2" fontId="39" fillId="0" borderId="0" xfId="0" applyNumberFormat="1" applyFont="1" applyAlignment="1">
      <alignment horizontal="center" vertical="center" shrinkToFit="1"/>
    </xf>
    <xf numFmtId="165" fontId="39" fillId="0" borderId="0" xfId="0" applyNumberFormat="1" applyFont="1" applyAlignment="1">
      <alignment horizontal="center" vertical="center" shrinkToFit="1"/>
    </xf>
    <xf numFmtId="165" fontId="68" fillId="0" borderId="0" xfId="0" applyNumberFormat="1" applyFont="1" applyAlignment="1">
      <alignment horizontal="center" vertical="center" shrinkToFit="1"/>
    </xf>
    <xf numFmtId="0" fontId="5" fillId="0" borderId="0" xfId="0" applyFont="1" applyAlignment="1">
      <alignment horizontal="right" vertical="center" readingOrder="2"/>
    </xf>
    <xf numFmtId="165" fontId="4" fillId="0" borderId="0" xfId="0" applyNumberFormat="1" applyFont="1" applyAlignment="1">
      <alignment horizontal="left" vertical="center" shrinkToFit="1"/>
    </xf>
    <xf numFmtId="0" fontId="30" fillId="0" borderId="0" xfId="0" applyFont="1" applyAlignment="1">
      <alignment horizontal="center" vertical="center" shrinkToFit="1"/>
    </xf>
    <xf numFmtId="2" fontId="4" fillId="0" borderId="0" xfId="0" applyNumberFormat="1" applyFont="1" applyAlignment="1">
      <alignment horizontal="left" vertical="center" shrinkToFit="1"/>
    </xf>
    <xf numFmtId="165" fontId="40" fillId="0" borderId="0" xfId="0" applyNumberFormat="1" applyFont="1" applyAlignment="1">
      <alignment horizontal="left" vertical="center" shrinkToFit="1"/>
    </xf>
    <xf numFmtId="0" fontId="97" fillId="0" borderId="43" xfId="0" applyFont="1" applyBorder="1" applyAlignment="1">
      <alignment horizontal="right" vertical="center"/>
    </xf>
    <xf numFmtId="0" fontId="97" fillId="0" borderId="0" xfId="0" applyFont="1" applyAlignment="1">
      <alignment horizontal="right" vertical="center"/>
    </xf>
    <xf numFmtId="165" fontId="40" fillId="0" borderId="43" xfId="0" applyNumberFormat="1" applyFont="1" applyBorder="1" applyAlignment="1">
      <alignment horizontal="center" vertical="center" shrinkToFit="1"/>
    </xf>
    <xf numFmtId="165" fontId="40" fillId="0" borderId="0" xfId="0" applyNumberFormat="1" applyFont="1" applyAlignment="1">
      <alignment horizontal="center" vertical="center" shrinkToFit="1"/>
    </xf>
    <xf numFmtId="165" fontId="40" fillId="0" borderId="43" xfId="0" applyNumberFormat="1" applyFont="1" applyBorder="1" applyAlignment="1">
      <alignment horizontal="left" vertical="center" shrinkToFit="1"/>
    </xf>
    <xf numFmtId="0" fontId="71" fillId="0" borderId="84" xfId="0" applyFont="1" applyBorder="1" applyAlignment="1">
      <alignment horizontal="center" readingOrder="1"/>
    </xf>
    <xf numFmtId="0" fontId="71" fillId="0" borderId="94" xfId="0" applyFont="1" applyBorder="1" applyAlignment="1">
      <alignment horizontal="center" readingOrder="1"/>
    </xf>
    <xf numFmtId="0" fontId="4" fillId="7" borderId="78" xfId="0" applyFont="1" applyFill="1" applyBorder="1" applyAlignment="1">
      <alignment horizontal="center" vertical="center" shrinkToFit="1"/>
    </xf>
    <xf numFmtId="0" fontId="4" fillId="7" borderId="43" xfId="0" applyFont="1" applyFill="1" applyBorder="1" applyAlignment="1">
      <alignment horizontal="center" vertical="center" shrinkToFit="1"/>
    </xf>
    <xf numFmtId="0" fontId="4" fillId="7" borderId="51" xfId="0" applyFont="1" applyFill="1" applyBorder="1" applyAlignment="1">
      <alignment horizontal="center" vertical="center" shrinkToFit="1"/>
    </xf>
    <xf numFmtId="0" fontId="4" fillId="7" borderId="0" xfId="0" applyFont="1" applyFill="1" applyAlignment="1">
      <alignment horizontal="center" vertical="center" shrinkToFit="1"/>
    </xf>
    <xf numFmtId="0" fontId="4" fillId="7" borderId="76" xfId="0" applyFont="1" applyFill="1" applyBorder="1" applyAlignment="1">
      <alignment horizontal="center" vertical="center" shrinkToFit="1"/>
    </xf>
    <xf numFmtId="0" fontId="4" fillId="7" borderId="10" xfId="0" applyFont="1" applyFill="1" applyBorder="1" applyAlignment="1">
      <alignment horizontal="center" vertical="center" shrinkToFit="1"/>
    </xf>
    <xf numFmtId="0" fontId="29" fillId="7" borderId="0" xfId="0" applyFont="1" applyFill="1" applyAlignment="1">
      <alignment horizontal="center" vertical="center" shrinkToFit="1"/>
    </xf>
    <xf numFmtId="0" fontId="29" fillId="7" borderId="10" xfId="0" applyFont="1" applyFill="1" applyBorder="1" applyAlignment="1">
      <alignment horizontal="center" vertical="center" shrinkToFit="1"/>
    </xf>
    <xf numFmtId="0" fontId="29" fillId="7" borderId="0" xfId="0" applyFont="1" applyFill="1" applyAlignment="1">
      <alignment horizontal="right" vertical="center" shrinkToFit="1"/>
    </xf>
    <xf numFmtId="0" fontId="29" fillId="7" borderId="10" xfId="0" applyFont="1" applyFill="1" applyBorder="1" applyAlignment="1">
      <alignment horizontal="right" vertical="center" shrinkToFit="1"/>
    </xf>
    <xf numFmtId="167" fontId="29" fillId="7" borderId="0" xfId="0" applyNumberFormat="1" applyFont="1" applyFill="1" applyAlignment="1">
      <alignment horizontal="right" vertical="center" shrinkToFit="1"/>
    </xf>
    <xf numFmtId="167" fontId="29" fillId="7" borderId="10" xfId="0" applyNumberFormat="1" applyFont="1" applyFill="1" applyBorder="1" applyAlignment="1">
      <alignment horizontal="right" vertical="center" shrinkToFit="1"/>
    </xf>
    <xf numFmtId="167" fontId="29" fillId="7" borderId="0" xfId="0" applyNumberFormat="1" applyFont="1" applyFill="1" applyAlignment="1">
      <alignment horizontal="left" vertical="center" shrinkToFit="1"/>
    </xf>
    <xf numFmtId="167" fontId="29" fillId="7" borderId="10" xfId="0" applyNumberFormat="1" applyFont="1" applyFill="1" applyBorder="1" applyAlignment="1">
      <alignment horizontal="left" vertical="center" shrinkToFit="1"/>
    </xf>
    <xf numFmtId="0" fontId="29" fillId="7" borderId="0" xfId="0" applyFont="1" applyFill="1" applyAlignment="1">
      <alignment horizontal="left" vertical="center" shrinkToFit="1"/>
    </xf>
    <xf numFmtId="0" fontId="29" fillId="7" borderId="10" xfId="0" applyFont="1" applyFill="1" applyBorder="1" applyAlignment="1">
      <alignment horizontal="left" vertical="center" shrinkToFit="1"/>
    </xf>
    <xf numFmtId="0" fontId="31" fillId="19" borderId="28" xfId="0" applyFont="1" applyFill="1" applyBorder="1" applyAlignment="1">
      <alignment horizontal="center" vertical="center" shrinkToFit="1"/>
    </xf>
    <xf numFmtId="0" fontId="31" fillId="19" borderId="0" xfId="0" applyFont="1" applyFill="1" applyAlignment="1">
      <alignment horizontal="center" vertical="center" shrinkToFit="1"/>
    </xf>
    <xf numFmtId="0" fontId="18" fillId="20" borderId="20" xfId="0" applyFont="1" applyFill="1" applyBorder="1" applyAlignment="1">
      <alignment horizontal="center" vertical="center" shrinkToFit="1"/>
    </xf>
    <xf numFmtId="0" fontId="18" fillId="20" borderId="0" xfId="0" applyFont="1" applyFill="1" applyAlignment="1">
      <alignment horizontal="center" vertical="center" shrinkToFit="1"/>
    </xf>
    <xf numFmtId="0" fontId="97" fillId="0" borderId="0" xfId="0" applyFont="1" applyAlignment="1">
      <alignment horizontal="center" vertical="center"/>
    </xf>
    <xf numFmtId="0" fontId="39" fillId="7" borderId="59" xfId="0" applyFont="1" applyFill="1" applyBorder="1" applyAlignment="1">
      <alignment horizontal="center" vertical="center" shrinkToFit="1"/>
    </xf>
    <xf numFmtId="0" fontId="39" fillId="7" borderId="20" xfId="0" applyFont="1" applyFill="1" applyBorder="1" applyAlignment="1">
      <alignment horizontal="center" vertical="center" shrinkToFit="1"/>
    </xf>
    <xf numFmtId="0" fontId="39" fillId="7" borderId="60" xfId="0" applyFont="1" applyFill="1" applyBorder="1" applyAlignment="1">
      <alignment horizontal="center" vertical="center" shrinkToFit="1"/>
    </xf>
    <xf numFmtId="0" fontId="39" fillId="7" borderId="80" xfId="0" applyFont="1" applyFill="1" applyBorder="1" applyAlignment="1">
      <alignment horizontal="center" vertical="center" shrinkToFit="1"/>
    </xf>
    <xf numFmtId="0" fontId="39" fillId="7" borderId="37" xfId="0" applyFont="1" applyFill="1" applyBorder="1" applyAlignment="1">
      <alignment horizontal="center" vertical="center" shrinkToFit="1"/>
    </xf>
    <xf numFmtId="0" fontId="39" fillId="7" borderId="81" xfId="0" applyFont="1" applyFill="1" applyBorder="1" applyAlignment="1">
      <alignment horizontal="center" vertical="center" shrinkToFit="1"/>
    </xf>
    <xf numFmtId="2" fontId="36" fillId="8" borderId="6" xfId="0" applyNumberFormat="1" applyFont="1" applyFill="1" applyBorder="1" applyAlignment="1">
      <alignment horizontal="center" vertical="center" shrinkToFit="1"/>
    </xf>
    <xf numFmtId="2" fontId="36" fillId="8" borderId="0" xfId="0" applyNumberFormat="1" applyFont="1" applyFill="1" applyAlignment="1">
      <alignment horizontal="center" vertical="center" shrinkToFit="1"/>
    </xf>
    <xf numFmtId="0" fontId="36" fillId="8" borderId="6" xfId="0" applyFont="1" applyFill="1" applyBorder="1" applyAlignment="1">
      <alignment horizontal="center" vertical="center" shrinkToFit="1"/>
    </xf>
    <xf numFmtId="0" fontId="36" fillId="8" borderId="0" xfId="0" applyFont="1" applyFill="1" applyAlignment="1">
      <alignment horizontal="center" vertical="center" shrinkToFit="1"/>
    </xf>
    <xf numFmtId="0" fontId="86" fillId="8" borderId="0" xfId="0" applyFont="1" applyFill="1" applyAlignment="1">
      <alignment horizontal="center" vertical="center" shrinkToFit="1"/>
    </xf>
    <xf numFmtId="167" fontId="45" fillId="20" borderId="0" xfId="0" applyNumberFormat="1" applyFont="1" applyFill="1" applyAlignment="1">
      <alignment horizontal="left" vertical="center" shrinkToFit="1"/>
    </xf>
    <xf numFmtId="167" fontId="45" fillId="20" borderId="4" xfId="0" applyNumberFormat="1" applyFont="1" applyFill="1" applyBorder="1" applyAlignment="1">
      <alignment horizontal="left" vertical="center" shrinkToFit="1"/>
    </xf>
    <xf numFmtId="0" fontId="45" fillId="20" borderId="0" xfId="0" applyFont="1" applyFill="1" applyAlignment="1">
      <alignment horizontal="right" vertical="center" shrinkToFit="1"/>
    </xf>
    <xf numFmtId="0" fontId="45" fillId="20" borderId="4" xfId="0" applyFont="1" applyFill="1" applyBorder="1" applyAlignment="1">
      <alignment horizontal="right" vertical="center" shrinkToFit="1"/>
    </xf>
    <xf numFmtId="168" fontId="45" fillId="20" borderId="0" xfId="0" applyNumberFormat="1" applyFont="1" applyFill="1" applyAlignment="1">
      <alignment horizontal="left" vertical="center" readingOrder="1"/>
    </xf>
    <xf numFmtId="168" fontId="45" fillId="20" borderId="4" xfId="0" applyNumberFormat="1" applyFont="1" applyFill="1" applyBorder="1" applyAlignment="1">
      <alignment horizontal="left" vertical="center" readingOrder="1"/>
    </xf>
    <xf numFmtId="0" fontId="45" fillId="20" borderId="0" xfId="0" applyFont="1" applyFill="1" applyAlignment="1">
      <alignment horizontal="right" vertical="center"/>
    </xf>
    <xf numFmtId="0" fontId="45" fillId="20" borderId="4" xfId="0" applyFont="1" applyFill="1" applyBorder="1" applyAlignment="1">
      <alignment horizontal="right" vertical="center"/>
    </xf>
    <xf numFmtId="168" fontId="45" fillId="20" borderId="0" xfId="0" applyNumberFormat="1" applyFont="1" applyFill="1" applyAlignment="1">
      <alignment horizontal="left" vertical="center" shrinkToFit="1"/>
    </xf>
    <xf numFmtId="168" fontId="45" fillId="20" borderId="4" xfId="0" applyNumberFormat="1" applyFont="1" applyFill="1" applyBorder="1" applyAlignment="1">
      <alignment horizontal="left" vertical="center" shrinkToFit="1"/>
    </xf>
    <xf numFmtId="2" fontId="45" fillId="20" borderId="0" xfId="0" applyNumberFormat="1" applyFont="1" applyFill="1" applyAlignment="1">
      <alignment horizontal="center" vertical="center" shrinkToFit="1"/>
    </xf>
    <xf numFmtId="2" fontId="45" fillId="20" borderId="4" xfId="0" applyNumberFormat="1" applyFont="1" applyFill="1" applyBorder="1" applyAlignment="1">
      <alignment horizontal="center" vertical="center" shrinkToFit="1"/>
    </xf>
    <xf numFmtId="0" fontId="6" fillId="0" borderId="89" xfId="0" applyFont="1" applyBorder="1" applyAlignment="1">
      <alignment horizontal="center" vertical="center" shrinkToFit="1"/>
    </xf>
    <xf numFmtId="0" fontId="13" fillId="4" borderId="0" xfId="0" applyFont="1" applyFill="1" applyAlignment="1">
      <alignment horizontal="center" vertical="center" shrinkToFit="1"/>
    </xf>
    <xf numFmtId="0" fontId="13" fillId="4" borderId="51" xfId="0" applyFont="1" applyFill="1" applyBorder="1" applyAlignment="1">
      <alignment horizontal="center" vertical="center" shrinkToFit="1"/>
    </xf>
    <xf numFmtId="0" fontId="13" fillId="4" borderId="52" xfId="0" applyFont="1" applyFill="1" applyBorder="1" applyAlignment="1">
      <alignment horizontal="center" vertical="center" shrinkToFit="1"/>
    </xf>
    <xf numFmtId="2" fontId="4" fillId="6" borderId="43" xfId="0" applyNumberFormat="1" applyFont="1" applyFill="1" applyBorder="1" applyAlignment="1">
      <alignment horizontal="center" vertical="center" shrinkToFit="1"/>
    </xf>
    <xf numFmtId="2" fontId="4" fillId="6" borderId="79" xfId="0" applyNumberFormat="1" applyFont="1" applyFill="1" applyBorder="1" applyAlignment="1">
      <alignment horizontal="center" vertical="center" shrinkToFit="1"/>
    </xf>
    <xf numFmtId="2" fontId="4" fillId="6" borderId="10" xfId="0" applyNumberFormat="1" applyFont="1" applyFill="1" applyBorder="1" applyAlignment="1">
      <alignment horizontal="center" vertical="center" shrinkToFit="1"/>
    </xf>
    <xf numFmtId="2" fontId="4" fillId="6" borderId="77" xfId="0" applyNumberFormat="1" applyFont="1" applyFill="1" applyBorder="1" applyAlignment="1">
      <alignment horizontal="center" vertical="center" shrinkToFit="1"/>
    </xf>
    <xf numFmtId="0" fontId="29" fillId="7" borderId="52" xfId="0" applyFont="1" applyFill="1" applyBorder="1" applyAlignment="1">
      <alignment horizontal="right" vertical="center" shrinkToFit="1"/>
    </xf>
    <xf numFmtId="0" fontId="29" fillId="7" borderId="77" xfId="0" applyFont="1" applyFill="1" applyBorder="1" applyAlignment="1">
      <alignment horizontal="right" vertical="center" shrinkToFit="1"/>
    </xf>
    <xf numFmtId="0" fontId="11" fillId="7" borderId="0" xfId="0" applyFont="1" applyFill="1" applyAlignment="1">
      <alignment horizontal="center" vertical="center" shrinkToFit="1"/>
    </xf>
    <xf numFmtId="0" fontId="11" fillId="7" borderId="52" xfId="0" applyFont="1" applyFill="1" applyBorder="1" applyAlignment="1">
      <alignment horizontal="center" vertical="center" shrinkToFit="1"/>
    </xf>
    <xf numFmtId="0" fontId="11" fillId="7" borderId="43" xfId="0" applyFont="1" applyFill="1" applyBorder="1" applyAlignment="1">
      <alignment horizontal="center" vertical="center" shrinkToFit="1"/>
    </xf>
    <xf numFmtId="0" fontId="11" fillId="7" borderId="79" xfId="0" applyFont="1" applyFill="1" applyBorder="1" applyAlignment="1">
      <alignment horizontal="center" vertical="center" shrinkToFit="1"/>
    </xf>
    <xf numFmtId="0" fontId="11" fillId="7" borderId="37" xfId="0" applyFont="1" applyFill="1" applyBorder="1" applyAlignment="1">
      <alignment horizontal="center" vertical="center" shrinkToFit="1"/>
    </xf>
    <xf numFmtId="0" fontId="11" fillId="7" borderId="81" xfId="0" applyFont="1" applyFill="1" applyBorder="1" applyAlignment="1">
      <alignment horizontal="center" vertical="center" shrinkToFit="1"/>
    </xf>
    <xf numFmtId="0" fontId="94" fillId="0" borderId="0" xfId="0" applyFont="1" applyAlignment="1">
      <alignment horizontal="center" vertical="center" shrinkToFit="1"/>
    </xf>
    <xf numFmtId="0" fontId="2" fillId="6" borderId="43" xfId="0" applyFont="1" applyFill="1" applyBorder="1" applyAlignment="1" applyProtection="1">
      <alignment horizontal="center" vertical="center" shrinkToFit="1"/>
      <protection locked="0"/>
    </xf>
    <xf numFmtId="0" fontId="2" fillId="6" borderId="79" xfId="0" applyFont="1" applyFill="1" applyBorder="1" applyAlignment="1" applyProtection="1">
      <alignment horizontal="center" vertical="center" shrinkToFit="1"/>
      <protection locked="0"/>
    </xf>
    <xf numFmtId="0" fontId="2" fillId="6" borderId="0" xfId="0" applyFont="1" applyFill="1" applyAlignment="1" applyProtection="1">
      <alignment horizontal="center" vertical="center" shrinkToFit="1"/>
      <protection locked="0"/>
    </xf>
    <xf numFmtId="0" fontId="2" fillId="6" borderId="52" xfId="0" applyFont="1" applyFill="1" applyBorder="1" applyAlignment="1" applyProtection="1">
      <alignment horizontal="center" vertical="center" shrinkToFit="1"/>
      <protection locked="0"/>
    </xf>
    <xf numFmtId="0" fontId="2" fillId="7" borderId="43" xfId="0" applyFont="1" applyFill="1" applyBorder="1" applyAlignment="1">
      <alignment horizontal="center" vertical="center" shrinkToFit="1"/>
    </xf>
    <xf numFmtId="0" fontId="2" fillId="7" borderId="10" xfId="0" applyFont="1" applyFill="1" applyBorder="1" applyAlignment="1">
      <alignment horizontal="center" vertical="center" shrinkToFit="1"/>
    </xf>
    <xf numFmtId="2" fontId="6" fillId="6" borderId="43" xfId="0" applyNumberFormat="1" applyFont="1" applyFill="1" applyBorder="1" applyAlignment="1" applyProtection="1">
      <alignment horizontal="left" vertical="center" shrinkToFit="1"/>
      <protection locked="0"/>
    </xf>
    <xf numFmtId="2" fontId="6" fillId="6" borderId="10" xfId="0" applyNumberFormat="1" applyFont="1" applyFill="1" applyBorder="1" applyAlignment="1" applyProtection="1">
      <alignment horizontal="left" vertical="center" shrinkToFit="1"/>
      <protection locked="0"/>
    </xf>
    <xf numFmtId="0" fontId="6" fillId="6" borderId="43" xfId="0" applyFont="1" applyFill="1" applyBorder="1" applyAlignment="1">
      <alignment horizontal="center" vertical="center" shrinkToFit="1"/>
    </xf>
    <xf numFmtId="0" fontId="6" fillId="6" borderId="79" xfId="0" applyFont="1" applyFill="1" applyBorder="1" applyAlignment="1">
      <alignment horizontal="center" vertical="center" shrinkToFit="1"/>
    </xf>
    <xf numFmtId="0" fontId="6" fillId="6" borderId="10" xfId="0" applyFont="1" applyFill="1" applyBorder="1" applyAlignment="1">
      <alignment horizontal="center" vertical="center" shrinkToFit="1"/>
    </xf>
    <xf numFmtId="0" fontId="6" fillId="6" borderId="77" xfId="0" applyFont="1" applyFill="1" applyBorder="1" applyAlignment="1">
      <alignment horizontal="center" vertical="center" shrinkToFit="1"/>
    </xf>
    <xf numFmtId="0" fontId="48" fillId="0" borderId="43" xfId="0" applyFont="1" applyBorder="1" applyAlignment="1">
      <alignment horizontal="center" vertical="center" shrinkToFit="1"/>
    </xf>
    <xf numFmtId="0" fontId="49" fillId="0" borderId="43" xfId="0" applyFont="1" applyBorder="1" applyAlignment="1">
      <alignment horizontal="center" vertical="center" shrinkToFit="1"/>
    </xf>
    <xf numFmtId="0" fontId="49" fillId="0" borderId="79" xfId="0" applyFont="1" applyBorder="1" applyAlignment="1">
      <alignment horizontal="center" vertical="center" shrinkToFit="1"/>
    </xf>
    <xf numFmtId="0" fontId="105" fillId="26" borderId="90" xfId="0" applyFont="1" applyFill="1" applyBorder="1" applyAlignment="1">
      <alignment horizontal="center" vertical="center" shrinkToFit="1"/>
    </xf>
    <xf numFmtId="0" fontId="121" fillId="0" borderId="84" xfId="0" applyFont="1" applyBorder="1" applyAlignment="1">
      <alignment horizontal="center" vertical="center" shrinkToFit="1"/>
    </xf>
    <xf numFmtId="0" fontId="121" fillId="0" borderId="90" xfId="0" applyFont="1" applyBorder="1" applyAlignment="1">
      <alignment horizontal="center" vertical="center" shrinkToFit="1"/>
    </xf>
    <xf numFmtId="0" fontId="106" fillId="0" borderId="0" xfId="0" applyFont="1" applyAlignment="1">
      <alignment horizontal="center" vertical="center" shrinkToFit="1"/>
    </xf>
    <xf numFmtId="0" fontId="107" fillId="0" borderId="0" xfId="0" applyFont="1" applyAlignment="1">
      <alignment horizontal="center" vertical="center" shrinkToFit="1"/>
    </xf>
    <xf numFmtId="0" fontId="37" fillId="0" borderId="0" xfId="0" applyFont="1" applyAlignment="1">
      <alignment horizontal="right" vertical="center" wrapText="1" shrinkToFit="1"/>
    </xf>
    <xf numFmtId="0" fontId="7" fillId="0" borderId="0" xfId="0" applyFont="1" applyAlignment="1">
      <alignment horizontal="center" vertical="center" shrinkToFit="1"/>
    </xf>
    <xf numFmtId="0" fontId="29" fillId="0" borderId="0" xfId="0" applyFont="1" applyAlignment="1">
      <alignment horizontal="left" vertical="top" shrinkToFit="1"/>
    </xf>
    <xf numFmtId="0" fontId="2" fillId="6" borderId="10" xfId="0" applyFont="1" applyFill="1" applyBorder="1" applyAlignment="1" applyProtection="1">
      <alignment horizontal="center" vertical="center" shrinkToFit="1"/>
      <protection locked="0"/>
    </xf>
    <xf numFmtId="0" fontId="2" fillId="6" borderId="77" xfId="0" applyFont="1" applyFill="1" applyBorder="1" applyAlignment="1" applyProtection="1">
      <alignment horizontal="center" vertical="center" shrinkToFit="1"/>
      <protection locked="0"/>
    </xf>
    <xf numFmtId="0" fontId="79" fillId="7" borderId="43" xfId="0" applyFont="1" applyFill="1" applyBorder="1" applyAlignment="1">
      <alignment horizontal="center" vertical="center" shrinkToFit="1"/>
    </xf>
    <xf numFmtId="0" fontId="79" fillId="7" borderId="10" xfId="0" applyFont="1" applyFill="1" applyBorder="1" applyAlignment="1">
      <alignment horizontal="center" vertical="center" shrinkToFit="1"/>
    </xf>
    <xf numFmtId="0" fontId="79" fillId="7" borderId="79" xfId="0" applyFont="1" applyFill="1" applyBorder="1" applyAlignment="1">
      <alignment horizontal="center" vertical="center" shrinkToFit="1"/>
    </xf>
    <xf numFmtId="0" fontId="79" fillId="7" borderId="77" xfId="0" applyFont="1" applyFill="1" applyBorder="1" applyAlignment="1">
      <alignment horizontal="center" vertical="center" shrinkToFit="1"/>
    </xf>
    <xf numFmtId="0" fontId="4" fillId="0" borderId="103" xfId="0" applyFont="1" applyBorder="1" applyAlignment="1">
      <alignment horizontal="center" shrinkToFit="1"/>
    </xf>
    <xf numFmtId="0" fontId="4" fillId="0" borderId="82" xfId="0" applyFont="1" applyBorder="1" applyAlignment="1">
      <alignment horizontal="center" shrinkToFit="1"/>
    </xf>
    <xf numFmtId="165" fontId="36" fillId="8" borderId="0" xfId="0" applyNumberFormat="1" applyFont="1" applyFill="1" applyAlignment="1">
      <alignment horizontal="left" vertical="top" shrinkToFit="1"/>
    </xf>
    <xf numFmtId="164" fontId="29" fillId="13" borderId="0" xfId="0" applyNumberFormat="1" applyFont="1" applyFill="1" applyAlignment="1">
      <alignment horizontal="left" vertical="center"/>
    </xf>
    <xf numFmtId="0" fontId="9" fillId="8" borderId="6" xfId="0" applyFont="1" applyFill="1" applyBorder="1" applyAlignment="1">
      <alignment horizontal="center" vertical="center" shrinkToFit="1"/>
    </xf>
    <xf numFmtId="0" fontId="9" fillId="8" borderId="0" xfId="0" applyFont="1" applyFill="1" applyAlignment="1">
      <alignment horizontal="center" vertical="center" shrinkToFit="1"/>
    </xf>
    <xf numFmtId="0" fontId="9" fillId="8" borderId="4" xfId="0" applyFont="1" applyFill="1" applyBorder="1" applyAlignment="1">
      <alignment horizontal="center" vertical="center" shrinkToFit="1"/>
    </xf>
    <xf numFmtId="164" fontId="4" fillId="13" borderId="6" xfId="0" applyNumberFormat="1" applyFont="1" applyFill="1" applyBorder="1" applyAlignment="1">
      <alignment horizontal="left" vertical="center" shrinkToFit="1"/>
    </xf>
    <xf numFmtId="164" fontId="4" fillId="13" borderId="0" xfId="0" applyNumberFormat="1" applyFont="1" applyFill="1" applyAlignment="1">
      <alignment horizontal="left" vertical="center" shrinkToFit="1"/>
    </xf>
    <xf numFmtId="164" fontId="4" fillId="13" borderId="4" xfId="0" applyNumberFormat="1" applyFont="1" applyFill="1" applyBorder="1" applyAlignment="1">
      <alignment horizontal="left" vertical="center" shrinkToFit="1"/>
    </xf>
    <xf numFmtId="2" fontId="4" fillId="13" borderId="30" xfId="0" applyNumberFormat="1" applyFont="1" applyFill="1" applyBorder="1" applyAlignment="1">
      <alignment horizontal="left" vertical="center" shrinkToFit="1"/>
    </xf>
    <xf numFmtId="2" fontId="4" fillId="13" borderId="6" xfId="0" applyNumberFormat="1" applyFont="1" applyFill="1" applyBorder="1" applyAlignment="1">
      <alignment horizontal="left" vertical="center" shrinkToFit="1"/>
    </xf>
    <xf numFmtId="2" fontId="4" fillId="13" borderId="1" xfId="0" applyNumberFormat="1" applyFont="1" applyFill="1" applyBorder="1" applyAlignment="1">
      <alignment horizontal="left" vertical="center" shrinkToFit="1"/>
    </xf>
    <xf numFmtId="2" fontId="4" fillId="13" borderId="0" xfId="0" applyNumberFormat="1" applyFont="1" applyFill="1" applyAlignment="1">
      <alignment horizontal="left" vertical="center" shrinkToFit="1"/>
    </xf>
    <xf numFmtId="2" fontId="4" fillId="13" borderId="3" xfId="0" applyNumberFormat="1" applyFont="1" applyFill="1" applyBorder="1" applyAlignment="1">
      <alignment horizontal="left" vertical="center" shrinkToFit="1"/>
    </xf>
    <xf numFmtId="2" fontId="4" fillId="13" borderId="4" xfId="0" applyNumberFormat="1" applyFont="1" applyFill="1" applyBorder="1" applyAlignment="1">
      <alignment horizontal="left" vertical="center" shrinkToFit="1"/>
    </xf>
    <xf numFmtId="0" fontId="38" fillId="20" borderId="0" xfId="0" applyFont="1" applyFill="1" applyAlignment="1">
      <alignment horizontal="center" vertical="center" shrinkToFit="1"/>
    </xf>
    <xf numFmtId="0" fontId="38" fillId="20" borderId="46" xfId="0" applyFont="1" applyFill="1" applyBorder="1" applyAlignment="1">
      <alignment horizontal="center" vertical="center" shrinkToFit="1"/>
    </xf>
    <xf numFmtId="49" fontId="4" fillId="3" borderId="0" xfId="0" applyNumberFormat="1" applyFont="1" applyFill="1" applyAlignment="1">
      <alignment horizontal="left" vertical="center" shrinkToFit="1"/>
    </xf>
    <xf numFmtId="49" fontId="4" fillId="3" borderId="4" xfId="0" applyNumberFormat="1" applyFont="1" applyFill="1" applyBorder="1" applyAlignment="1">
      <alignment horizontal="left" vertical="center" shrinkToFit="1"/>
    </xf>
    <xf numFmtId="0" fontId="16" fillId="3" borderId="0" xfId="1" applyFont="1" applyFill="1" applyBorder="1" applyAlignment="1" applyProtection="1">
      <alignment horizontal="center" vertical="center" shrinkToFit="1"/>
    </xf>
    <xf numFmtId="0" fontId="4" fillId="0" borderId="106" xfId="0" applyFont="1" applyBorder="1" applyAlignment="1">
      <alignment horizontal="center" shrinkToFit="1"/>
    </xf>
    <xf numFmtId="0" fontId="2" fillId="7" borderId="0" xfId="0" applyFont="1" applyFill="1" applyAlignment="1">
      <alignment horizontal="center" vertical="center" shrinkToFit="1"/>
    </xf>
    <xf numFmtId="0" fontId="17" fillId="6" borderId="10" xfId="0" applyFont="1" applyFill="1" applyBorder="1" applyAlignment="1">
      <alignment horizontal="center" vertical="center" shrinkToFit="1"/>
    </xf>
    <xf numFmtId="0" fontId="14" fillId="11" borderId="10" xfId="0" applyFont="1" applyFill="1" applyBorder="1" applyAlignment="1">
      <alignment horizontal="center" vertical="center" shrinkToFit="1"/>
    </xf>
    <xf numFmtId="0" fontId="14" fillId="11" borderId="77" xfId="0" applyFont="1" applyFill="1" applyBorder="1" applyAlignment="1">
      <alignment horizontal="center" vertical="center" shrinkToFit="1"/>
    </xf>
    <xf numFmtId="0" fontId="101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 shrinkToFit="1"/>
    </xf>
    <xf numFmtId="165" fontId="97" fillId="0" borderId="0" xfId="0" applyNumberFormat="1" applyFont="1" applyAlignment="1">
      <alignment horizontal="center" vertical="center" shrinkToFit="1"/>
    </xf>
    <xf numFmtId="165" fontId="30" fillId="8" borderId="6" xfId="0" applyNumberFormat="1" applyFont="1" applyFill="1" applyBorder="1" applyAlignment="1">
      <alignment horizontal="center" vertical="center" shrinkToFit="1"/>
    </xf>
    <xf numFmtId="165" fontId="30" fillId="8" borderId="0" xfId="0" applyNumberFormat="1" applyFont="1" applyFill="1" applyAlignment="1">
      <alignment horizontal="center" vertical="center" shrinkToFit="1"/>
    </xf>
    <xf numFmtId="0" fontId="75" fillId="8" borderId="3" xfId="0" applyFont="1" applyFill="1" applyBorder="1" applyAlignment="1">
      <alignment horizontal="center" vertical="center" shrinkToFit="1"/>
    </xf>
    <xf numFmtId="0" fontId="75" fillId="8" borderId="4" xfId="0" applyFont="1" applyFill="1" applyBorder="1" applyAlignment="1">
      <alignment horizontal="center" vertical="center" shrinkToFit="1"/>
    </xf>
    <xf numFmtId="0" fontId="4" fillId="6" borderId="43" xfId="0" applyFont="1" applyFill="1" applyBorder="1" applyAlignment="1">
      <alignment horizontal="left" vertical="center" shrinkToFit="1"/>
    </xf>
    <xf numFmtId="0" fontId="4" fillId="6" borderId="10" xfId="0" applyFont="1" applyFill="1" applyBorder="1" applyAlignment="1">
      <alignment horizontal="left" vertical="center" shrinkToFit="1"/>
    </xf>
    <xf numFmtId="168" fontId="4" fillId="6" borderId="43" xfId="0" applyNumberFormat="1" applyFont="1" applyFill="1" applyBorder="1" applyAlignment="1" applyProtection="1">
      <alignment horizontal="center" vertical="center" shrinkToFit="1"/>
      <protection locked="0"/>
    </xf>
    <xf numFmtId="168" fontId="4" fillId="6" borderId="10" xfId="0" applyNumberFormat="1" applyFont="1" applyFill="1" applyBorder="1" applyAlignment="1" applyProtection="1">
      <alignment horizontal="center" vertical="center" shrinkToFit="1"/>
      <protection locked="0"/>
    </xf>
    <xf numFmtId="0" fontId="13" fillId="4" borderId="30" xfId="0" applyFont="1" applyFill="1" applyBorder="1" applyAlignment="1">
      <alignment horizontal="center" vertical="center" shrinkToFit="1"/>
    </xf>
    <xf numFmtId="0" fontId="13" fillId="4" borderId="6" xfId="0" applyFont="1" applyFill="1" applyBorder="1" applyAlignment="1">
      <alignment horizontal="center" vertical="center" shrinkToFit="1"/>
    </xf>
    <xf numFmtId="0" fontId="13" fillId="4" borderId="31" xfId="0" applyFont="1" applyFill="1" applyBorder="1" applyAlignment="1">
      <alignment horizontal="center" vertical="center" shrinkToFit="1"/>
    </xf>
    <xf numFmtId="0" fontId="13" fillId="4" borderId="1" xfId="0" applyFont="1" applyFill="1" applyBorder="1" applyAlignment="1">
      <alignment horizontal="center" vertical="center" shrinkToFit="1"/>
    </xf>
    <xf numFmtId="0" fontId="13" fillId="4" borderId="2" xfId="0" applyFont="1" applyFill="1" applyBorder="1" applyAlignment="1">
      <alignment horizontal="center" vertical="center" shrinkToFit="1"/>
    </xf>
    <xf numFmtId="0" fontId="2" fillId="3" borderId="1" xfId="0" applyFont="1" applyFill="1" applyBorder="1" applyAlignment="1">
      <alignment horizontal="center" vertical="center" wrapText="1" shrinkToFit="1"/>
    </xf>
    <xf numFmtId="0" fontId="2" fillId="3" borderId="0" xfId="0" applyFont="1" applyFill="1" applyAlignment="1">
      <alignment horizontal="center" vertical="center" wrapText="1" shrinkToFit="1"/>
    </xf>
    <xf numFmtId="0" fontId="37" fillId="3" borderId="30" xfId="0" applyFont="1" applyFill="1" applyBorder="1" applyAlignment="1">
      <alignment horizontal="center" shrinkToFit="1"/>
    </xf>
    <xf numFmtId="0" fontId="37" fillId="3" borderId="6" xfId="0" applyFont="1" applyFill="1" applyBorder="1" applyAlignment="1">
      <alignment horizontal="center" shrinkToFit="1"/>
    </xf>
    <xf numFmtId="0" fontId="37" fillId="3" borderId="1" xfId="0" applyFont="1" applyFill="1" applyBorder="1" applyAlignment="1">
      <alignment horizontal="center" shrinkToFit="1"/>
    </xf>
    <xf numFmtId="0" fontId="37" fillId="3" borderId="0" xfId="0" applyFont="1" applyFill="1" applyAlignment="1">
      <alignment horizontal="center" shrinkToFit="1"/>
    </xf>
    <xf numFmtId="0" fontId="6" fillId="3" borderId="1" xfId="0" applyFont="1" applyFill="1" applyBorder="1" applyAlignment="1">
      <alignment horizontal="center" vertical="center" shrinkToFit="1"/>
    </xf>
    <xf numFmtId="0" fontId="6" fillId="3" borderId="0" xfId="0" applyFont="1" applyFill="1" applyAlignment="1">
      <alignment horizontal="center" vertical="center" shrinkToFit="1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4" fillId="3" borderId="0" xfId="1" applyFont="1" applyFill="1" applyBorder="1" applyAlignment="1" applyProtection="1">
      <alignment horizontal="left" vertical="center" shrinkToFit="1"/>
    </xf>
    <xf numFmtId="2" fontId="4" fillId="6" borderId="0" xfId="0" applyNumberFormat="1" applyFont="1" applyFill="1" applyAlignment="1">
      <alignment horizontal="center" vertical="center" shrinkToFit="1"/>
    </xf>
    <xf numFmtId="2" fontId="4" fillId="6" borderId="52" xfId="0" applyNumberFormat="1" applyFont="1" applyFill="1" applyBorder="1" applyAlignment="1">
      <alignment horizontal="center" vertical="center" shrinkToFit="1"/>
    </xf>
    <xf numFmtId="2" fontId="4" fillId="6" borderId="0" xfId="0" applyNumberFormat="1" applyFont="1" applyFill="1" applyAlignment="1" applyProtection="1">
      <alignment horizontal="left" vertical="center" shrinkToFit="1"/>
      <protection locked="0"/>
    </xf>
    <xf numFmtId="2" fontId="4" fillId="6" borderId="10" xfId="0" applyNumberFormat="1" applyFont="1" applyFill="1" applyBorder="1" applyAlignment="1" applyProtection="1">
      <alignment horizontal="left" vertical="center" shrinkToFit="1"/>
      <protection locked="0"/>
    </xf>
    <xf numFmtId="0" fontId="4" fillId="3" borderId="0" xfId="0" applyFont="1" applyFill="1" applyAlignment="1">
      <alignment horizontal="center" wrapText="1" shrinkToFit="1"/>
    </xf>
    <xf numFmtId="0" fontId="4" fillId="3" borderId="2" xfId="0" applyFont="1" applyFill="1" applyBorder="1" applyAlignment="1">
      <alignment horizontal="center" wrapText="1" shrinkToFit="1"/>
    </xf>
    <xf numFmtId="0" fontId="16" fillId="3" borderId="0" xfId="0" applyFont="1" applyFill="1" applyAlignment="1">
      <alignment horizontal="center" vertical="center" shrinkToFit="1"/>
    </xf>
    <xf numFmtId="0" fontId="14" fillId="11" borderId="76" xfId="0" applyFont="1" applyFill="1" applyBorder="1" applyAlignment="1">
      <alignment horizontal="left" vertical="center" shrinkToFit="1"/>
    </xf>
    <xf numFmtId="0" fontId="14" fillId="11" borderId="10" xfId="0" applyFont="1" applyFill="1" applyBorder="1" applyAlignment="1">
      <alignment horizontal="left" vertical="center" shrinkToFit="1"/>
    </xf>
    <xf numFmtId="2" fontId="93" fillId="23" borderId="0" xfId="0" applyNumberFormat="1" applyFont="1" applyFill="1" applyAlignment="1">
      <alignment horizontal="center" vertical="center" shrinkToFit="1"/>
    </xf>
    <xf numFmtId="165" fontId="11" fillId="19" borderId="6" xfId="0" applyNumberFormat="1" applyFont="1" applyFill="1" applyBorder="1" applyAlignment="1">
      <alignment horizontal="center" vertical="center" shrinkToFit="1"/>
    </xf>
    <xf numFmtId="0" fontId="44" fillId="20" borderId="0" xfId="0" applyFont="1" applyFill="1" applyAlignment="1">
      <alignment horizontal="center" vertical="center" shrinkToFit="1"/>
    </xf>
    <xf numFmtId="0" fontId="44" fillId="20" borderId="4" xfId="0" applyFont="1" applyFill="1" applyBorder="1" applyAlignment="1">
      <alignment horizontal="center" vertical="center" shrinkToFit="1"/>
    </xf>
    <xf numFmtId="0" fontId="79" fillId="7" borderId="78" xfId="0" applyFont="1" applyFill="1" applyBorder="1" applyAlignment="1">
      <alignment horizontal="center" vertical="center" shrinkToFit="1"/>
    </xf>
    <xf numFmtId="0" fontId="79" fillId="7" borderId="76" xfId="0" applyFont="1" applyFill="1" applyBorder="1" applyAlignment="1">
      <alignment horizontal="center" vertical="center" shrinkToFit="1"/>
    </xf>
    <xf numFmtId="0" fontId="2" fillId="7" borderId="43" xfId="0" applyFont="1" applyFill="1" applyBorder="1" applyAlignment="1">
      <alignment horizontal="right" vertical="center" wrapText="1" shrinkToFit="1"/>
    </xf>
    <xf numFmtId="0" fontId="2" fillId="7" borderId="0" xfId="0" applyFont="1" applyFill="1" applyAlignment="1">
      <alignment horizontal="right" vertical="center" wrapText="1" shrinkToFit="1"/>
    </xf>
    <xf numFmtId="0" fontId="2" fillId="7" borderId="10" xfId="0" applyFont="1" applyFill="1" applyBorder="1" applyAlignment="1">
      <alignment horizontal="right" vertical="center" wrapText="1" shrinkToFit="1"/>
    </xf>
    <xf numFmtId="2" fontId="2" fillId="6" borderId="43" xfId="0" applyNumberFormat="1" applyFont="1" applyFill="1" applyBorder="1" applyAlignment="1" applyProtection="1">
      <alignment horizontal="center" vertical="center" shrinkToFit="1"/>
      <protection locked="0"/>
    </xf>
    <xf numFmtId="2" fontId="2" fillId="6" borderId="79" xfId="0" applyNumberFormat="1" applyFont="1" applyFill="1" applyBorder="1" applyAlignment="1" applyProtection="1">
      <alignment horizontal="center" vertical="center" shrinkToFit="1"/>
      <protection locked="0"/>
    </xf>
    <xf numFmtId="2" fontId="2" fillId="6" borderId="10" xfId="0" applyNumberFormat="1" applyFont="1" applyFill="1" applyBorder="1" applyAlignment="1" applyProtection="1">
      <alignment horizontal="center" vertical="center" shrinkToFit="1"/>
      <protection locked="0"/>
    </xf>
    <xf numFmtId="2" fontId="2" fillId="6" borderId="77" xfId="0" applyNumberFormat="1" applyFont="1" applyFill="1" applyBorder="1" applyAlignment="1" applyProtection="1">
      <alignment horizontal="center" vertical="center" shrinkToFit="1"/>
      <protection locked="0"/>
    </xf>
    <xf numFmtId="2" fontId="4" fillId="6" borderId="43" xfId="0" applyNumberFormat="1" applyFont="1" applyFill="1" applyBorder="1" applyAlignment="1" applyProtection="1">
      <alignment horizontal="left" vertical="center" shrinkToFit="1"/>
      <protection locked="0"/>
    </xf>
    <xf numFmtId="2" fontId="6" fillId="6" borderId="43" xfId="0" applyNumberFormat="1" applyFont="1" applyFill="1" applyBorder="1" applyAlignment="1">
      <alignment horizontal="right" vertical="center" shrinkToFit="1"/>
    </xf>
    <xf numFmtId="2" fontId="6" fillId="6" borderId="10" xfId="0" applyNumberFormat="1" applyFont="1" applyFill="1" applyBorder="1" applyAlignment="1">
      <alignment horizontal="right" vertical="center" shrinkToFit="1"/>
    </xf>
    <xf numFmtId="2" fontId="6" fillId="6" borderId="43" xfId="0" applyNumberFormat="1" applyFont="1" applyFill="1" applyBorder="1" applyAlignment="1">
      <alignment horizontal="left" vertical="center" shrinkToFit="1"/>
    </xf>
    <xf numFmtId="2" fontId="6" fillId="6" borderId="10" xfId="0" applyNumberFormat="1" applyFont="1" applyFill="1" applyBorder="1" applyAlignment="1">
      <alignment horizontal="left" vertical="center" shrinkToFit="1"/>
    </xf>
    <xf numFmtId="2" fontId="93" fillId="10" borderId="0" xfId="0" applyNumberFormat="1" applyFont="1" applyFill="1" applyAlignment="1">
      <alignment horizontal="center" vertical="center" shrinkToFit="1"/>
    </xf>
    <xf numFmtId="164" fontId="4" fillId="0" borderId="0" xfId="0" applyNumberFormat="1" applyFont="1" applyAlignment="1">
      <alignment horizontal="center" vertical="center" shrinkToFit="1"/>
    </xf>
    <xf numFmtId="168" fontId="4" fillId="0" borderId="0" xfId="0" applyNumberFormat="1" applyFont="1" applyAlignment="1">
      <alignment horizontal="left" vertical="center" shrinkToFit="1"/>
    </xf>
    <xf numFmtId="0" fontId="11" fillId="18" borderId="32" xfId="0" applyFont="1" applyFill="1" applyBorder="1" applyAlignment="1">
      <alignment horizontal="left" vertical="center" shrinkToFit="1"/>
    </xf>
    <xf numFmtId="0" fontId="11" fillId="18" borderId="54" xfId="0" applyFont="1" applyFill="1" applyBorder="1" applyAlignment="1">
      <alignment horizontal="left" vertical="center" shrinkToFit="1"/>
    </xf>
    <xf numFmtId="0" fontId="11" fillId="18" borderId="32" xfId="0" applyFont="1" applyFill="1" applyBorder="1" applyAlignment="1">
      <alignment horizontal="center" vertical="center" shrinkToFit="1"/>
    </xf>
    <xf numFmtId="0" fontId="11" fillId="18" borderId="54" xfId="0" applyFont="1" applyFill="1" applyBorder="1" applyAlignment="1">
      <alignment horizontal="center" vertical="center" shrinkToFit="1"/>
    </xf>
    <xf numFmtId="0" fontId="11" fillId="18" borderId="32" xfId="0" applyFont="1" applyFill="1" applyBorder="1" applyAlignment="1">
      <alignment horizontal="right" vertical="center" shrinkToFit="1"/>
    </xf>
    <xf numFmtId="0" fontId="11" fillId="18" borderId="54" xfId="0" applyFont="1" applyFill="1" applyBorder="1" applyAlignment="1">
      <alignment horizontal="right" vertical="center" shrinkToFit="1"/>
    </xf>
    <xf numFmtId="0" fontId="90" fillId="0" borderId="0" xfId="0" applyFont="1" applyAlignment="1">
      <alignment horizontal="center" vertical="center" readingOrder="2"/>
    </xf>
    <xf numFmtId="167" fontId="4" fillId="0" borderId="0" xfId="0" applyNumberFormat="1" applyFont="1" applyAlignment="1">
      <alignment horizontal="center" vertical="center" shrinkToFit="1"/>
    </xf>
    <xf numFmtId="0" fontId="65" fillId="13" borderId="6" xfId="0" applyFont="1" applyFill="1" applyBorder="1" applyAlignment="1">
      <alignment horizontal="center" vertical="center" shrinkToFit="1"/>
    </xf>
    <xf numFmtId="0" fontId="65" fillId="13" borderId="0" xfId="0" applyFont="1" applyFill="1" applyAlignment="1">
      <alignment horizontal="center" vertical="center" shrinkToFit="1"/>
    </xf>
    <xf numFmtId="0" fontId="65" fillId="13" borderId="4" xfId="0" applyFont="1" applyFill="1" applyBorder="1" applyAlignment="1">
      <alignment horizontal="center" vertical="center" shrinkToFit="1"/>
    </xf>
    <xf numFmtId="0" fontId="33" fillId="0" borderId="0" xfId="0" applyFont="1" applyAlignment="1">
      <alignment horizontal="right" vertical="center" shrinkToFit="1"/>
    </xf>
    <xf numFmtId="0" fontId="4" fillId="7" borderId="80" xfId="0" applyFont="1" applyFill="1" applyBorder="1" applyAlignment="1">
      <alignment horizontal="center" vertical="center" shrinkToFit="1"/>
    </xf>
    <xf numFmtId="0" fontId="4" fillId="7" borderId="37" xfId="0" applyFont="1" applyFill="1" applyBorder="1" applyAlignment="1">
      <alignment horizontal="center" vertical="center" shrinkToFit="1"/>
    </xf>
    <xf numFmtId="2" fontId="2" fillId="6" borderId="0" xfId="0" applyNumberFormat="1" applyFont="1" applyFill="1" applyAlignment="1" applyProtection="1">
      <alignment horizontal="center" vertical="center" shrinkToFit="1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13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colors>
    <mruColors>
      <color rgb="FFE5F5FF"/>
      <color rgb="FFFFFFAB"/>
      <color rgb="FF024E45"/>
      <color rgb="FF6DFBEA"/>
      <color rgb="FFDAB48E"/>
      <color rgb="FF008000"/>
      <color rgb="FF009900"/>
      <color rgb="FF2C2C2C"/>
      <color rgb="FF686868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>
                <a:latin typeface="Times New Roman" panose="02020603050405020304" pitchFamily="18" charset="0"/>
                <a:cs typeface="Times New Roman" panose="02020603050405020304" pitchFamily="18" charset="0"/>
              </a:rPr>
              <a:t>T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'(2800-V4)-۲ضریب زلزله'!$BX$7:$BX$307</c:f>
              <c:numCache>
                <c:formatCode>0.000000</c:formatCode>
                <c:ptCount val="301"/>
                <c:pt idx="0">
                  <c:v>1.1000000000000001</c:v>
                </c:pt>
                <c:pt idx="1">
                  <c:v>1.32</c:v>
                </c:pt>
                <c:pt idx="2">
                  <c:v>1.54</c:v>
                </c:pt>
                <c:pt idx="3">
                  <c:v>1.7600000000000002</c:v>
                </c:pt>
                <c:pt idx="4">
                  <c:v>1.98</c:v>
                </c:pt>
                <c:pt idx="5">
                  <c:v>2.2000000000000002</c:v>
                </c:pt>
                <c:pt idx="6">
                  <c:v>2.42</c:v>
                </c:pt>
                <c:pt idx="7">
                  <c:v>2.64</c:v>
                </c:pt>
                <c:pt idx="8">
                  <c:v>2.75</c:v>
                </c:pt>
                <c:pt idx="9">
                  <c:v>2.75</c:v>
                </c:pt>
                <c:pt idx="10">
                  <c:v>2.75</c:v>
                </c:pt>
                <c:pt idx="11">
                  <c:v>2.75</c:v>
                </c:pt>
                <c:pt idx="12">
                  <c:v>2.75</c:v>
                </c:pt>
                <c:pt idx="13">
                  <c:v>2.75</c:v>
                </c:pt>
                <c:pt idx="14">
                  <c:v>2.75</c:v>
                </c:pt>
                <c:pt idx="15">
                  <c:v>2.75</c:v>
                </c:pt>
                <c:pt idx="16">
                  <c:v>2.75</c:v>
                </c:pt>
                <c:pt idx="17">
                  <c:v>2.75</c:v>
                </c:pt>
                <c:pt idx="18">
                  <c:v>2.75</c:v>
                </c:pt>
                <c:pt idx="19">
                  <c:v>2.75</c:v>
                </c:pt>
                <c:pt idx="20">
                  <c:v>2.75</c:v>
                </c:pt>
                <c:pt idx="21">
                  <c:v>2.75</c:v>
                </c:pt>
                <c:pt idx="22">
                  <c:v>2.75</c:v>
                </c:pt>
                <c:pt idx="23">
                  <c:v>2.75</c:v>
                </c:pt>
                <c:pt idx="24">
                  <c:v>2.75</c:v>
                </c:pt>
                <c:pt idx="25">
                  <c:v>2.75</c:v>
                </c:pt>
                <c:pt idx="26">
                  <c:v>2.75</c:v>
                </c:pt>
                <c:pt idx="27">
                  <c:v>2.75</c:v>
                </c:pt>
                <c:pt idx="28">
                  <c:v>2.75</c:v>
                </c:pt>
                <c:pt idx="29">
                  <c:v>2.75</c:v>
                </c:pt>
                <c:pt idx="30">
                  <c:v>2.75</c:v>
                </c:pt>
                <c:pt idx="31">
                  <c:v>2.75</c:v>
                </c:pt>
                <c:pt idx="32">
                  <c:v>2.75</c:v>
                </c:pt>
                <c:pt idx="33">
                  <c:v>2.75</c:v>
                </c:pt>
                <c:pt idx="34">
                  <c:v>2.75</c:v>
                </c:pt>
                <c:pt idx="35">
                  <c:v>2.75</c:v>
                </c:pt>
                <c:pt idx="36">
                  <c:v>2.6849537037037035</c:v>
                </c:pt>
                <c:pt idx="37">
                  <c:v>2.6234234234234237</c:v>
                </c:pt>
                <c:pt idx="38">
                  <c:v>2.5651315789473683</c:v>
                </c:pt>
                <c:pt idx="39">
                  <c:v>2.5098290598290598</c:v>
                </c:pt>
                <c:pt idx="40">
                  <c:v>2.4572916666666664</c:v>
                </c:pt>
                <c:pt idx="41">
                  <c:v>2.4073170731707316</c:v>
                </c:pt>
                <c:pt idx="42">
                  <c:v>2.3597222222222221</c:v>
                </c:pt>
                <c:pt idx="43">
                  <c:v>2.3143410852713178</c:v>
                </c:pt>
                <c:pt idx="44">
                  <c:v>2.2710227272727272</c:v>
                </c:pt>
                <c:pt idx="45">
                  <c:v>2.2296296296296294</c:v>
                </c:pt>
                <c:pt idx="46">
                  <c:v>2.1900362318840574</c:v>
                </c:pt>
                <c:pt idx="47">
                  <c:v>2.1521276595744676</c:v>
                </c:pt>
                <c:pt idx="48">
                  <c:v>2.1157986111111109</c:v>
                </c:pt>
                <c:pt idx="49">
                  <c:v>2.0809523809523811</c:v>
                </c:pt>
                <c:pt idx="50">
                  <c:v>2.0474999999999999</c:v>
                </c:pt>
                <c:pt idx="51">
                  <c:v>2.0153594771241825</c:v>
                </c:pt>
                <c:pt idx="52">
                  <c:v>1.9844551282051284</c:v>
                </c:pt>
                <c:pt idx="53">
                  <c:v>1.9547169811320755</c:v>
                </c:pt>
                <c:pt idx="54">
                  <c:v>1.9260802469135798</c:v>
                </c:pt>
                <c:pt idx="55">
                  <c:v>1.8984848484848482</c:v>
                </c:pt>
                <c:pt idx="56">
                  <c:v>1.8718749999999997</c:v>
                </c:pt>
                <c:pt idx="57">
                  <c:v>1.8461988304093566</c:v>
                </c:pt>
                <c:pt idx="58">
                  <c:v>1.8214080459770114</c:v>
                </c:pt>
                <c:pt idx="59">
                  <c:v>1.797457627118644</c:v>
                </c:pt>
                <c:pt idx="60">
                  <c:v>1.7743055555555556</c:v>
                </c:pt>
                <c:pt idx="61">
                  <c:v>1.7519125683060108</c:v>
                </c:pt>
                <c:pt idx="62">
                  <c:v>1.7302419354838707</c:v>
                </c:pt>
                <c:pt idx="63">
                  <c:v>1.709259259259259</c:v>
                </c:pt>
                <c:pt idx="64">
                  <c:v>1.6889322916666667</c:v>
                </c:pt>
                <c:pt idx="65">
                  <c:v>1.6692307692307689</c:v>
                </c:pt>
                <c:pt idx="66">
                  <c:v>1.6501262626262627</c:v>
                </c:pt>
                <c:pt idx="67">
                  <c:v>1.6315920398009947</c:v>
                </c:pt>
                <c:pt idx="68">
                  <c:v>1.6136029411764705</c:v>
                </c:pt>
                <c:pt idx="69">
                  <c:v>1.5961352657004835</c:v>
                </c:pt>
                <c:pt idx="70">
                  <c:v>1.5791666666666666</c:v>
                </c:pt>
                <c:pt idx="71">
                  <c:v>1.5626760563380284</c:v>
                </c:pt>
                <c:pt idx="72">
                  <c:v>1.5466435185185186</c:v>
                </c:pt>
                <c:pt idx="73">
                  <c:v>1.5310502283105021</c:v>
                </c:pt>
                <c:pt idx="74">
                  <c:v>1.5158783783783785</c:v>
                </c:pt>
                <c:pt idx="75">
                  <c:v>1.5011111111111108</c:v>
                </c:pt>
                <c:pt idx="76">
                  <c:v>1.4867324561403508</c:v>
                </c:pt>
                <c:pt idx="77">
                  <c:v>1.4727272727272727</c:v>
                </c:pt>
                <c:pt idx="78">
                  <c:v>1.4590811965811963</c:v>
                </c:pt>
                <c:pt idx="79">
                  <c:v>1.4457805907172996</c:v>
                </c:pt>
                <c:pt idx="80">
                  <c:v>1.4328124999999998</c:v>
                </c:pt>
                <c:pt idx="81">
                  <c:v>1.4201646090534976</c:v>
                </c:pt>
                <c:pt idx="82">
                  <c:v>1.4078252032520326</c:v>
                </c:pt>
                <c:pt idx="83">
                  <c:v>1.3957831325301204</c:v>
                </c:pt>
                <c:pt idx="84">
                  <c:v>1.3840277777777779</c:v>
                </c:pt>
                <c:pt idx="85">
                  <c:v>1.3725490196078431</c:v>
                </c:pt>
                <c:pt idx="86">
                  <c:v>1.3613372093023255</c:v>
                </c:pt>
                <c:pt idx="87">
                  <c:v>1.3503831417624521</c:v>
                </c:pt>
                <c:pt idx="88">
                  <c:v>1.3396780303030302</c:v>
                </c:pt>
                <c:pt idx="89">
                  <c:v>1.3292134831460671</c:v>
                </c:pt>
                <c:pt idx="90">
                  <c:v>1.3189814814814813</c:v>
                </c:pt>
                <c:pt idx="91">
                  <c:v>1.3089743589743588</c:v>
                </c:pt>
                <c:pt idx="92">
                  <c:v>1.2991847826086955</c:v>
                </c:pt>
                <c:pt idx="93">
                  <c:v>1.2896057347670249</c:v>
                </c:pt>
                <c:pt idx="94">
                  <c:v>1.2802304964539004</c:v>
                </c:pt>
                <c:pt idx="95">
                  <c:v>1.2710526315789474</c:v>
                </c:pt>
                <c:pt idx="96">
                  <c:v>1.2620659722222221</c:v>
                </c:pt>
                <c:pt idx="97">
                  <c:v>1.2532646048109968</c:v>
                </c:pt>
                <c:pt idx="98">
                  <c:v>1.2446428571428574</c:v>
                </c:pt>
                <c:pt idx="99">
                  <c:v>1.2361952861952861</c:v>
                </c:pt>
                <c:pt idx="100">
                  <c:v>1.2279166666666668</c:v>
                </c:pt>
                <c:pt idx="101">
                  <c:v>1.2198019801980198</c:v>
                </c:pt>
                <c:pt idx="102">
                  <c:v>1.2118464052287579</c:v>
                </c:pt>
                <c:pt idx="103">
                  <c:v>1.2040453074433657</c:v>
                </c:pt>
                <c:pt idx="104">
                  <c:v>1.1963942307692306</c:v>
                </c:pt>
                <c:pt idx="105">
                  <c:v>1.1888888888888887</c:v>
                </c:pt>
                <c:pt idx="106">
                  <c:v>1.1815251572327043</c:v>
                </c:pt>
                <c:pt idx="107">
                  <c:v>1.1742990654205605</c:v>
                </c:pt>
                <c:pt idx="108">
                  <c:v>1.1672067901234564</c:v>
                </c:pt>
                <c:pt idx="109">
                  <c:v>1.1602446483180426</c:v>
                </c:pt>
                <c:pt idx="110">
                  <c:v>1.1534090909090908</c:v>
                </c:pt>
                <c:pt idx="111">
                  <c:v>1.1466966966966965</c:v>
                </c:pt>
                <c:pt idx="112">
                  <c:v>1.1401041666666665</c:v>
                </c:pt>
                <c:pt idx="113">
                  <c:v>1.1336283185840705</c:v>
                </c:pt>
                <c:pt idx="114">
                  <c:v>1.1272660818713451</c:v>
                </c:pt>
                <c:pt idx="115">
                  <c:v>1.1210144927536232</c:v>
                </c:pt>
                <c:pt idx="116">
                  <c:v>1.1148706896551723</c:v>
                </c:pt>
                <c:pt idx="117">
                  <c:v>1.1088319088319087</c:v>
                </c:pt>
                <c:pt idx="118">
                  <c:v>1.1028954802259885</c:v>
                </c:pt>
                <c:pt idx="119">
                  <c:v>1.0970588235294119</c:v>
                </c:pt>
                <c:pt idx="120">
                  <c:v>1.0913194444444445</c:v>
                </c:pt>
                <c:pt idx="121">
                  <c:v>1.0856749311294764</c:v>
                </c:pt>
                <c:pt idx="122">
                  <c:v>1.0801229508196721</c:v>
                </c:pt>
                <c:pt idx="123">
                  <c:v>1.0746612466124661</c:v>
                </c:pt>
                <c:pt idx="124">
                  <c:v>1.0692876344086022</c:v>
                </c:pt>
                <c:pt idx="125">
                  <c:v>1.0639999999999998</c:v>
                </c:pt>
                <c:pt idx="126">
                  <c:v>1.0587962962962962</c:v>
                </c:pt>
                <c:pt idx="127">
                  <c:v>1.0536745406824146</c:v>
                </c:pt>
                <c:pt idx="128">
                  <c:v>1.0486328125</c:v>
                </c:pt>
                <c:pt idx="129">
                  <c:v>1.0436692506459948</c:v>
                </c:pt>
                <c:pt idx="130">
                  <c:v>1.0387820512820511</c:v>
                </c:pt>
                <c:pt idx="131">
                  <c:v>1.0339694656488547</c:v>
                </c:pt>
                <c:pt idx="132">
                  <c:v>1.029229797979798</c:v>
                </c:pt>
                <c:pt idx="133">
                  <c:v>1.0245614035087718</c:v>
                </c:pt>
                <c:pt idx="134">
                  <c:v>1.019962686567164</c:v>
                </c:pt>
                <c:pt idx="135">
                  <c:v>1.0154320987654322</c:v>
                </c:pt>
                <c:pt idx="136">
                  <c:v>1.010968137254902</c:v>
                </c:pt>
                <c:pt idx="137">
                  <c:v>1.0065693430656932</c:v>
                </c:pt>
                <c:pt idx="138">
                  <c:v>1.0022342995169085</c:v>
                </c:pt>
                <c:pt idx="139">
                  <c:v>0.99796163069544352</c:v>
                </c:pt>
                <c:pt idx="140">
                  <c:v>0.99374999999999991</c:v>
                </c:pt>
                <c:pt idx="141">
                  <c:v>0.9895981087470449</c:v>
                </c:pt>
                <c:pt idx="142">
                  <c:v>0.98550469483568071</c:v>
                </c:pt>
                <c:pt idx="143">
                  <c:v>0.98146853146853141</c:v>
                </c:pt>
                <c:pt idx="144">
                  <c:v>0.97748842592592589</c:v>
                </c:pt>
                <c:pt idx="145">
                  <c:v>0.97356321839080462</c:v>
                </c:pt>
                <c:pt idx="146">
                  <c:v>0.96969178082191776</c:v>
                </c:pt>
                <c:pt idx="147">
                  <c:v>0.96587301587301588</c:v>
                </c:pt>
                <c:pt idx="148">
                  <c:v>0.96210585585585595</c:v>
                </c:pt>
                <c:pt idx="149">
                  <c:v>0.95838926174496641</c:v>
                </c:pt>
                <c:pt idx="150">
                  <c:v>0.95472222222222214</c:v>
                </c:pt>
                <c:pt idx="151">
                  <c:v>0.95110375275938186</c:v>
                </c:pt>
                <c:pt idx="152">
                  <c:v>0.9475328947368421</c:v>
                </c:pt>
                <c:pt idx="153">
                  <c:v>0.9440087145969499</c:v>
                </c:pt>
                <c:pt idx="154">
                  <c:v>0.94053030303030305</c:v>
                </c:pt>
                <c:pt idx="155">
                  <c:v>0.93709677419354831</c:v>
                </c:pt>
                <c:pt idx="156">
                  <c:v>0.93370726495726475</c:v>
                </c:pt>
                <c:pt idx="157">
                  <c:v>0.93036093418259014</c:v>
                </c:pt>
                <c:pt idx="158">
                  <c:v>0.9270569620253164</c:v>
                </c:pt>
                <c:pt idx="159">
                  <c:v>0.92379454926624727</c:v>
                </c:pt>
                <c:pt idx="160">
                  <c:v>0.92057291666666652</c:v>
                </c:pt>
                <c:pt idx="161">
                  <c:v>0.91739130434782601</c:v>
                </c:pt>
                <c:pt idx="162">
                  <c:v>0.91424897119341531</c:v>
                </c:pt>
                <c:pt idx="163">
                  <c:v>0.91114519427402862</c:v>
                </c:pt>
                <c:pt idx="164">
                  <c:v>0.90807926829268304</c:v>
                </c:pt>
                <c:pt idx="165">
                  <c:v>0.90505050505050499</c:v>
                </c:pt>
                <c:pt idx="166">
                  <c:v>0.90205823293172682</c:v>
                </c:pt>
                <c:pt idx="167">
                  <c:v>0.89910179640718557</c:v>
                </c:pt>
                <c:pt idx="168">
                  <c:v>0.89618055555555542</c:v>
                </c:pt>
                <c:pt idx="169">
                  <c:v>0.89329388560157774</c:v>
                </c:pt>
                <c:pt idx="170">
                  <c:v>0.89044117647058818</c:v>
                </c:pt>
                <c:pt idx="171">
                  <c:v>0.88762183235867442</c:v>
                </c:pt>
                <c:pt idx="172">
                  <c:v>0.88483527131782935</c:v>
                </c:pt>
                <c:pt idx="173">
                  <c:v>0.88208092485549117</c:v>
                </c:pt>
                <c:pt idx="174">
                  <c:v>0.87935823754789266</c:v>
                </c:pt>
                <c:pt idx="175">
                  <c:v>0.87666666666666648</c:v>
                </c:pt>
                <c:pt idx="176">
                  <c:v>0.87400568181818183</c:v>
                </c:pt>
                <c:pt idx="177">
                  <c:v>0.87137476459510355</c:v>
                </c:pt>
                <c:pt idx="178">
                  <c:v>0.8687734082397004</c:v>
                </c:pt>
                <c:pt idx="179">
                  <c:v>0.86620111731843574</c:v>
                </c:pt>
                <c:pt idx="180">
                  <c:v>0.86365740740740726</c:v>
                </c:pt>
                <c:pt idx="181">
                  <c:v>0.86114180478821356</c:v>
                </c:pt>
                <c:pt idx="182">
                  <c:v>0.8586538461538461</c:v>
                </c:pt>
                <c:pt idx="183">
                  <c:v>0.85619307832422586</c:v>
                </c:pt>
                <c:pt idx="184">
                  <c:v>0.85375905797101448</c:v>
                </c:pt>
                <c:pt idx="185">
                  <c:v>0.85135135135135109</c:v>
                </c:pt>
                <c:pt idx="186">
                  <c:v>0.84896953405017905</c:v>
                </c:pt>
                <c:pt idx="187">
                  <c:v>0.84661319073083763</c:v>
                </c:pt>
                <c:pt idx="188">
                  <c:v>0.84428191489361681</c:v>
                </c:pt>
                <c:pt idx="189">
                  <c:v>0.84197530864197523</c:v>
                </c:pt>
                <c:pt idx="190">
                  <c:v>0.83969298245614021</c:v>
                </c:pt>
                <c:pt idx="191">
                  <c:v>0.83743455497382191</c:v>
                </c:pt>
                <c:pt idx="192">
                  <c:v>0.83519965277777763</c:v>
                </c:pt>
                <c:pt idx="193">
                  <c:v>0.83298791018998275</c:v>
                </c:pt>
                <c:pt idx="194">
                  <c:v>0.83079896907216488</c:v>
                </c:pt>
                <c:pt idx="195">
                  <c:v>0.82863247863247869</c:v>
                </c:pt>
                <c:pt idx="196">
                  <c:v>0.8264880952380953</c:v>
                </c:pt>
                <c:pt idx="197">
                  <c:v>0.82436548223350248</c:v>
                </c:pt>
                <c:pt idx="198">
                  <c:v>0.82226430976430975</c:v>
                </c:pt>
                <c:pt idx="199">
                  <c:v>0.82018425460636513</c:v>
                </c:pt>
                <c:pt idx="200">
                  <c:v>0.81812499999999988</c:v>
                </c:pt>
                <c:pt idx="201">
                  <c:v>0.81405472636815923</c:v>
                </c:pt>
                <c:pt idx="202">
                  <c:v>0.81002475247524752</c:v>
                </c:pt>
                <c:pt idx="203">
                  <c:v>0.80603448275862066</c:v>
                </c:pt>
                <c:pt idx="204">
                  <c:v>0.80208333333333315</c:v>
                </c:pt>
                <c:pt idx="205">
                  <c:v>0.79817073170731712</c:v>
                </c:pt>
                <c:pt idx="206">
                  <c:v>0.79429611650485432</c:v>
                </c:pt>
                <c:pt idx="207">
                  <c:v>0.79045893719806759</c:v>
                </c:pt>
                <c:pt idx="208">
                  <c:v>0.78665865384615374</c:v>
                </c:pt>
                <c:pt idx="209">
                  <c:v>0.78289473684210531</c:v>
                </c:pt>
                <c:pt idx="210">
                  <c:v>0.77916666666666656</c:v>
                </c:pt>
                <c:pt idx="211">
                  <c:v>0.77547393364928907</c:v>
                </c:pt>
                <c:pt idx="212">
                  <c:v>0.77181603773584895</c:v>
                </c:pt>
                <c:pt idx="213">
                  <c:v>0.76819248826291076</c:v>
                </c:pt>
                <c:pt idx="214">
                  <c:v>0.76460280373831768</c:v>
                </c:pt>
                <c:pt idx="215">
                  <c:v>0.76104651162790693</c:v>
                </c:pt>
                <c:pt idx="216">
                  <c:v>0.75752314814814792</c:v>
                </c:pt>
                <c:pt idx="217">
                  <c:v>0.75403225806451613</c:v>
                </c:pt>
                <c:pt idx="218">
                  <c:v>0.75057339449541272</c:v>
                </c:pt>
                <c:pt idx="219">
                  <c:v>0.74714611872146108</c:v>
                </c:pt>
                <c:pt idx="220">
                  <c:v>0.7437499999999998</c:v>
                </c:pt>
                <c:pt idx="221">
                  <c:v>0.74038461538461542</c:v>
                </c:pt>
                <c:pt idx="222">
                  <c:v>0.73704954954954938</c:v>
                </c:pt>
                <c:pt idx="223">
                  <c:v>0.73374439461883401</c:v>
                </c:pt>
                <c:pt idx="224">
                  <c:v>0.73046874999999989</c:v>
                </c:pt>
                <c:pt idx="225">
                  <c:v>0.72722222222222221</c:v>
                </c:pt>
                <c:pt idx="226">
                  <c:v>0.72400442477876104</c:v>
                </c:pt>
                <c:pt idx="227">
                  <c:v>0.72081497797356808</c:v>
                </c:pt>
                <c:pt idx="228">
                  <c:v>0.71765350877192979</c:v>
                </c:pt>
                <c:pt idx="229">
                  <c:v>0.71451965065502188</c:v>
                </c:pt>
                <c:pt idx="230">
                  <c:v>0.71141304347826084</c:v>
                </c:pt>
                <c:pt idx="231">
                  <c:v>0.70833333333333326</c:v>
                </c:pt>
                <c:pt idx="232">
                  <c:v>0.70528017241379304</c:v>
                </c:pt>
                <c:pt idx="233">
                  <c:v>0.70225321888412007</c:v>
                </c:pt>
                <c:pt idx="234">
                  <c:v>0.69925213675213671</c:v>
                </c:pt>
                <c:pt idx="235">
                  <c:v>0.6962765957446807</c:v>
                </c:pt>
                <c:pt idx="236">
                  <c:v>0.69332627118644063</c:v>
                </c:pt>
                <c:pt idx="237">
                  <c:v>0.69040084388185641</c:v>
                </c:pt>
                <c:pt idx="238">
                  <c:v>0.6875</c:v>
                </c:pt>
                <c:pt idx="239">
                  <c:v>0.68462343096234302</c:v>
                </c:pt>
                <c:pt idx="240">
                  <c:v>0.68177083333333333</c:v>
                </c:pt>
                <c:pt idx="241">
                  <c:v>0.67894190871369287</c:v>
                </c:pt>
                <c:pt idx="242">
                  <c:v>0.67613636363636354</c:v>
                </c:pt>
                <c:pt idx="243">
                  <c:v>0.67335390946502049</c:v>
                </c:pt>
                <c:pt idx="244">
                  <c:v>0.6705942622950819</c:v>
                </c:pt>
                <c:pt idx="245">
                  <c:v>0.66785714285714282</c:v>
                </c:pt>
                <c:pt idx="246">
                  <c:v>0.66514227642276413</c:v>
                </c:pt>
                <c:pt idx="247">
                  <c:v>0.66244939271255043</c:v>
                </c:pt>
                <c:pt idx="248">
                  <c:v>0.65977822580645151</c:v>
                </c:pt>
                <c:pt idx="249">
                  <c:v>0.65712851405622474</c:v>
                </c:pt>
                <c:pt idx="250">
                  <c:v>0.65449999999999986</c:v>
                </c:pt>
                <c:pt idx="251">
                  <c:v>0.65189243027888455</c:v>
                </c:pt>
                <c:pt idx="252">
                  <c:v>0.64930555555555536</c:v>
                </c:pt>
                <c:pt idx="253">
                  <c:v>0.64673913043478259</c:v>
                </c:pt>
                <c:pt idx="254">
                  <c:v>0.64419291338582663</c:v>
                </c:pt>
                <c:pt idx="255">
                  <c:v>0.64166666666666672</c:v>
                </c:pt>
                <c:pt idx="256">
                  <c:v>0.63916015625</c:v>
                </c:pt>
                <c:pt idx="257">
                  <c:v>0.63667315175097261</c:v>
                </c:pt>
                <c:pt idx="258">
                  <c:v>0.63420542635658916</c:v>
                </c:pt>
                <c:pt idx="259">
                  <c:v>0.6317567567567568</c:v>
                </c:pt>
                <c:pt idx="260">
                  <c:v>0.62932692307692295</c:v>
                </c:pt>
                <c:pt idx="261">
                  <c:v>0.62691570881226055</c:v>
                </c:pt>
                <c:pt idx="262">
                  <c:v>0.6245229007633587</c:v>
                </c:pt>
                <c:pt idx="263">
                  <c:v>0.62214828897338403</c:v>
                </c:pt>
                <c:pt idx="264">
                  <c:v>0.61979166666666663</c:v>
                </c:pt>
                <c:pt idx="265">
                  <c:v>0.61745283018867914</c:v>
                </c:pt>
                <c:pt idx="266">
                  <c:v>0.61513157894736958</c:v>
                </c:pt>
                <c:pt idx="267">
                  <c:v>0.61282771535580638</c:v>
                </c:pt>
                <c:pt idx="268">
                  <c:v>0.61054104477612048</c:v>
                </c:pt>
                <c:pt idx="269">
                  <c:v>0.60827137546468502</c:v>
                </c:pt>
                <c:pt idx="270">
                  <c:v>0.60601851851851973</c:v>
                </c:pt>
                <c:pt idx="271">
                  <c:v>0.60378228782287924</c:v>
                </c:pt>
                <c:pt idx="272">
                  <c:v>0.60156250000000111</c:v>
                </c:pt>
                <c:pt idx="273">
                  <c:v>0.59935897435897534</c:v>
                </c:pt>
                <c:pt idx="274">
                  <c:v>0.59717153284671631</c:v>
                </c:pt>
                <c:pt idx="275">
                  <c:v>0.59500000000000097</c:v>
                </c:pt>
                <c:pt idx="276">
                  <c:v>0.59284420289855178</c:v>
                </c:pt>
                <c:pt idx="277">
                  <c:v>0.59070397111913464</c:v>
                </c:pt>
                <c:pt idx="278">
                  <c:v>0.58857913669064854</c:v>
                </c:pt>
                <c:pt idx="279">
                  <c:v>0.58646953405018021</c:v>
                </c:pt>
                <c:pt idx="280">
                  <c:v>0.58437500000000098</c:v>
                </c:pt>
                <c:pt idx="281">
                  <c:v>0.58229537366548145</c:v>
                </c:pt>
                <c:pt idx="282">
                  <c:v>0.58023049645390168</c:v>
                </c:pt>
                <c:pt idx="283">
                  <c:v>0.57818021201413516</c:v>
                </c:pt>
                <c:pt idx="284">
                  <c:v>0.57614436619718401</c:v>
                </c:pt>
                <c:pt idx="285">
                  <c:v>0.57412280701754481</c:v>
                </c:pt>
                <c:pt idx="286">
                  <c:v>0.57211538461538547</c:v>
                </c:pt>
                <c:pt idx="287">
                  <c:v>0.57012195121951303</c:v>
                </c:pt>
                <c:pt idx="288">
                  <c:v>0.56814236111111205</c:v>
                </c:pt>
                <c:pt idx="289">
                  <c:v>0.56617647058823617</c:v>
                </c:pt>
                <c:pt idx="290">
                  <c:v>0.56422413793103643</c:v>
                </c:pt>
                <c:pt idx="291">
                  <c:v>0.56228522336769948</c:v>
                </c:pt>
                <c:pt idx="292">
                  <c:v>0.56035958904109773</c:v>
                </c:pt>
                <c:pt idx="293">
                  <c:v>0.55844709897611111</c:v>
                </c:pt>
                <c:pt idx="294">
                  <c:v>0.55654761904762096</c:v>
                </c:pt>
                <c:pt idx="295">
                  <c:v>0.55466101694915437</c:v>
                </c:pt>
                <c:pt idx="296">
                  <c:v>0.55278716216216395</c:v>
                </c:pt>
                <c:pt idx="297">
                  <c:v>0.55092592592592782</c:v>
                </c:pt>
                <c:pt idx="298">
                  <c:v>0.54907718120805549</c:v>
                </c:pt>
                <c:pt idx="299">
                  <c:v>0.54724080267558706</c:v>
                </c:pt>
                <c:pt idx="300">
                  <c:v>0.54541666666666844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B7-4B14-99AE-4EA641BA9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2453504"/>
        <c:axId val="1812453984"/>
      </c:lineChart>
      <c:dateAx>
        <c:axId val="181245350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10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bg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.0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2453984"/>
        <c:crosses val="autoZero"/>
        <c:auto val="0"/>
        <c:lblOffset val="100"/>
        <c:baseTimeUnit val="days"/>
        <c:minorUnit val="10"/>
      </c:dateAx>
      <c:valAx>
        <c:axId val="181245398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05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2453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2C2C2C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" l="0.25" r="0.25" t="0" header="0.3" footer="0.3"/>
    <c:pageSetup orientation="portrait"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>
                <a:latin typeface="Times New Roman" panose="02020603050405020304" pitchFamily="18" charset="0"/>
                <a:cs typeface="Times New Roman" panose="02020603050405020304" pitchFamily="18" charset="0"/>
              </a:rPr>
              <a:t>T</a:t>
            </a:r>
            <a:r>
              <a:rPr lang="en-US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 - A*B</a:t>
            </a:r>
            <a:endParaRPr lang="en-US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086623314583623"/>
          <c:y val="0.13208779361865339"/>
          <c:w val="0.77871647293514035"/>
          <c:h val="0.59545605673536672"/>
        </c:manualLayout>
      </c:layout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'(2800-V4)-۲ضریب زلزله'!$BW$7:$BW$307</c:f>
              <c:numCache>
                <c:formatCode>0.000000</c:formatCode>
                <c:ptCount val="301"/>
                <c:pt idx="0">
                  <c:v>0.33</c:v>
                </c:pt>
                <c:pt idx="1">
                  <c:v>0.39600000000000002</c:v>
                </c:pt>
                <c:pt idx="2">
                  <c:v>0.46199999999999997</c:v>
                </c:pt>
                <c:pt idx="3">
                  <c:v>0.52800000000000002</c:v>
                </c:pt>
                <c:pt idx="4">
                  <c:v>0.59399999999999997</c:v>
                </c:pt>
                <c:pt idx="5">
                  <c:v>0.66</c:v>
                </c:pt>
                <c:pt idx="6">
                  <c:v>0.72599999999999998</c:v>
                </c:pt>
                <c:pt idx="7">
                  <c:v>0.79200000000000004</c:v>
                </c:pt>
                <c:pt idx="8">
                  <c:v>0.82499999999999996</c:v>
                </c:pt>
                <c:pt idx="9">
                  <c:v>0.82499999999999996</c:v>
                </c:pt>
                <c:pt idx="10">
                  <c:v>0.82499999999999996</c:v>
                </c:pt>
                <c:pt idx="11">
                  <c:v>0.82499999999999996</c:v>
                </c:pt>
                <c:pt idx="12">
                  <c:v>0.82499999999999996</c:v>
                </c:pt>
                <c:pt idx="13">
                  <c:v>0.82499999999999996</c:v>
                </c:pt>
                <c:pt idx="14">
                  <c:v>0.82499999999999996</c:v>
                </c:pt>
                <c:pt idx="15">
                  <c:v>0.82499999999999996</c:v>
                </c:pt>
                <c:pt idx="16">
                  <c:v>0.82499999999999996</c:v>
                </c:pt>
                <c:pt idx="17">
                  <c:v>0.82499999999999996</c:v>
                </c:pt>
                <c:pt idx="18">
                  <c:v>0.82499999999999996</c:v>
                </c:pt>
                <c:pt idx="19">
                  <c:v>0.82499999999999996</c:v>
                </c:pt>
                <c:pt idx="20">
                  <c:v>0.82499999999999996</c:v>
                </c:pt>
                <c:pt idx="21">
                  <c:v>0.82499999999999996</c:v>
                </c:pt>
                <c:pt idx="22">
                  <c:v>0.82499999999999996</c:v>
                </c:pt>
                <c:pt idx="23">
                  <c:v>0.82499999999999996</c:v>
                </c:pt>
                <c:pt idx="24">
                  <c:v>0.82499999999999996</c:v>
                </c:pt>
                <c:pt idx="25">
                  <c:v>0.82499999999999996</c:v>
                </c:pt>
                <c:pt idx="26">
                  <c:v>0.82499999999999996</c:v>
                </c:pt>
                <c:pt idx="27">
                  <c:v>0.82499999999999996</c:v>
                </c:pt>
                <c:pt idx="28">
                  <c:v>0.82499999999999996</c:v>
                </c:pt>
                <c:pt idx="29">
                  <c:v>0.82499999999999996</c:v>
                </c:pt>
                <c:pt idx="30">
                  <c:v>0.82499999999999996</c:v>
                </c:pt>
                <c:pt idx="31">
                  <c:v>0.82499999999999996</c:v>
                </c:pt>
                <c:pt idx="32">
                  <c:v>0.82499999999999996</c:v>
                </c:pt>
                <c:pt idx="33">
                  <c:v>0.82499999999999996</c:v>
                </c:pt>
                <c:pt idx="34">
                  <c:v>0.82499999999999996</c:v>
                </c:pt>
                <c:pt idx="35">
                  <c:v>0.82499999999999996</c:v>
                </c:pt>
                <c:pt idx="36">
                  <c:v>0.80548611111111101</c:v>
                </c:pt>
                <c:pt idx="37">
                  <c:v>0.78702702702702709</c:v>
                </c:pt>
                <c:pt idx="38">
                  <c:v>0.7695394736842105</c:v>
                </c:pt>
                <c:pt idx="39">
                  <c:v>0.75294871794871787</c:v>
                </c:pt>
                <c:pt idx="40">
                  <c:v>0.73718749999999988</c:v>
                </c:pt>
                <c:pt idx="41">
                  <c:v>0.72219512195121949</c:v>
                </c:pt>
                <c:pt idx="42">
                  <c:v>0.70791666666666664</c:v>
                </c:pt>
                <c:pt idx="43">
                  <c:v>0.69430232558139526</c:v>
                </c:pt>
                <c:pt idx="44">
                  <c:v>0.68130681818181815</c:v>
                </c:pt>
                <c:pt idx="45">
                  <c:v>0.66888888888888876</c:v>
                </c:pt>
                <c:pt idx="46">
                  <c:v>0.65701086956521715</c:v>
                </c:pt>
                <c:pt idx="47">
                  <c:v>0.64563829787234028</c:v>
                </c:pt>
                <c:pt idx="48">
                  <c:v>0.63473958333333325</c:v>
                </c:pt>
                <c:pt idx="49">
                  <c:v>0.62428571428571433</c:v>
                </c:pt>
                <c:pt idx="50">
                  <c:v>0.61424999999999996</c:v>
                </c:pt>
                <c:pt idx="51">
                  <c:v>0.60460784313725469</c:v>
                </c:pt>
                <c:pt idx="52">
                  <c:v>0.59533653846153844</c:v>
                </c:pt>
                <c:pt idx="53">
                  <c:v>0.58641509433962258</c:v>
                </c:pt>
                <c:pt idx="54">
                  <c:v>0.57782407407407388</c:v>
                </c:pt>
                <c:pt idx="55">
                  <c:v>0.56954545454545447</c:v>
                </c:pt>
                <c:pt idx="56">
                  <c:v>0.56156249999999985</c:v>
                </c:pt>
                <c:pt idx="57">
                  <c:v>0.55385964912280694</c:v>
                </c:pt>
                <c:pt idx="58">
                  <c:v>0.54642241379310341</c:v>
                </c:pt>
                <c:pt idx="59">
                  <c:v>0.53923728813559313</c:v>
                </c:pt>
                <c:pt idx="60">
                  <c:v>0.53229166666666661</c:v>
                </c:pt>
                <c:pt idx="61">
                  <c:v>0.5255737704918032</c:v>
                </c:pt>
                <c:pt idx="62">
                  <c:v>0.51907258064516115</c:v>
                </c:pt>
                <c:pt idx="63">
                  <c:v>0.51277777777777767</c:v>
                </c:pt>
                <c:pt idx="64">
                  <c:v>0.50667968750000003</c:v>
                </c:pt>
                <c:pt idx="65">
                  <c:v>0.50076923076923063</c:v>
                </c:pt>
                <c:pt idx="66">
                  <c:v>0.4950378787878788</c:v>
                </c:pt>
                <c:pt idx="67">
                  <c:v>0.48947761194029837</c:v>
                </c:pt>
                <c:pt idx="68">
                  <c:v>0.48408088235294111</c:v>
                </c:pt>
                <c:pt idx="69">
                  <c:v>0.47884057971014504</c:v>
                </c:pt>
                <c:pt idx="70">
                  <c:v>0.47374999999999995</c:v>
                </c:pt>
                <c:pt idx="71">
                  <c:v>0.46880281690140851</c:v>
                </c:pt>
                <c:pt idx="72">
                  <c:v>0.46399305555555553</c:v>
                </c:pt>
                <c:pt idx="73">
                  <c:v>0.45931506849315062</c:v>
                </c:pt>
                <c:pt idx="74">
                  <c:v>0.45476351351351352</c:v>
                </c:pt>
                <c:pt idx="75">
                  <c:v>0.45033333333333325</c:v>
                </c:pt>
                <c:pt idx="76">
                  <c:v>0.44601973684210522</c:v>
                </c:pt>
                <c:pt idx="77">
                  <c:v>0.44181818181818178</c:v>
                </c:pt>
                <c:pt idx="78">
                  <c:v>0.43772435897435885</c:v>
                </c:pt>
                <c:pt idx="79">
                  <c:v>0.43373417721518986</c:v>
                </c:pt>
                <c:pt idx="80">
                  <c:v>0.42984374999999991</c:v>
                </c:pt>
                <c:pt idx="81">
                  <c:v>0.42604938271604925</c:v>
                </c:pt>
                <c:pt idx="82">
                  <c:v>0.42234756097560977</c:v>
                </c:pt>
                <c:pt idx="83">
                  <c:v>0.41873493975903614</c:v>
                </c:pt>
                <c:pt idx="84">
                  <c:v>0.41520833333333335</c:v>
                </c:pt>
                <c:pt idx="85">
                  <c:v>0.41176470588235292</c:v>
                </c:pt>
                <c:pt idx="86">
                  <c:v>0.40840116279069766</c:v>
                </c:pt>
                <c:pt idx="87">
                  <c:v>0.40511494252873564</c:v>
                </c:pt>
                <c:pt idx="88">
                  <c:v>0.40190340909090905</c:v>
                </c:pt>
                <c:pt idx="89">
                  <c:v>0.39876404494382012</c:v>
                </c:pt>
                <c:pt idx="90">
                  <c:v>0.3956944444444444</c:v>
                </c:pt>
                <c:pt idx="91">
                  <c:v>0.39269230769230762</c:v>
                </c:pt>
                <c:pt idx="92">
                  <c:v>0.38975543478260866</c:v>
                </c:pt>
                <c:pt idx="93">
                  <c:v>0.38688172043010743</c:v>
                </c:pt>
                <c:pt idx="94">
                  <c:v>0.38406914893617011</c:v>
                </c:pt>
                <c:pt idx="95">
                  <c:v>0.38131578947368422</c:v>
                </c:pt>
                <c:pt idx="96">
                  <c:v>0.37861979166666659</c:v>
                </c:pt>
                <c:pt idx="97">
                  <c:v>0.37597938144329901</c:v>
                </c:pt>
                <c:pt idx="98">
                  <c:v>0.37339285714285719</c:v>
                </c:pt>
                <c:pt idx="99">
                  <c:v>0.37085858585858583</c:v>
                </c:pt>
                <c:pt idx="100">
                  <c:v>0.36837500000000001</c:v>
                </c:pt>
                <c:pt idx="101">
                  <c:v>0.36594059405940593</c:v>
                </c:pt>
                <c:pt idx="102">
                  <c:v>0.36355392156862737</c:v>
                </c:pt>
                <c:pt idx="103">
                  <c:v>0.36121359223300969</c:v>
                </c:pt>
                <c:pt idx="104">
                  <c:v>0.35891826923076914</c:v>
                </c:pt>
                <c:pt idx="105">
                  <c:v>0.35666666666666658</c:v>
                </c:pt>
                <c:pt idx="106">
                  <c:v>0.35445754716981132</c:v>
                </c:pt>
                <c:pt idx="107">
                  <c:v>0.35228971962616812</c:v>
                </c:pt>
                <c:pt idx="108">
                  <c:v>0.35016203703703691</c:v>
                </c:pt>
                <c:pt idx="109">
                  <c:v>0.3480733944954128</c:v>
                </c:pt>
                <c:pt idx="110">
                  <c:v>0.34602272727272726</c:v>
                </c:pt>
                <c:pt idx="111">
                  <c:v>0.34400900900900894</c:v>
                </c:pt>
                <c:pt idx="112">
                  <c:v>0.34203124999999995</c:v>
                </c:pt>
                <c:pt idx="113">
                  <c:v>0.34008849557522114</c:v>
                </c:pt>
                <c:pt idx="114">
                  <c:v>0.33817982456140355</c:v>
                </c:pt>
                <c:pt idx="115">
                  <c:v>0.33630434782608692</c:v>
                </c:pt>
                <c:pt idx="116">
                  <c:v>0.33446120689655168</c:v>
                </c:pt>
                <c:pt idx="117">
                  <c:v>0.33264957264957262</c:v>
                </c:pt>
                <c:pt idx="118">
                  <c:v>0.33086864406779654</c:v>
                </c:pt>
                <c:pt idx="119">
                  <c:v>0.32911764705882357</c:v>
                </c:pt>
                <c:pt idx="120">
                  <c:v>0.32739583333333333</c:v>
                </c:pt>
                <c:pt idx="121">
                  <c:v>0.32570247933884294</c:v>
                </c:pt>
                <c:pt idx="122">
                  <c:v>0.32403688524590163</c:v>
                </c:pt>
                <c:pt idx="123">
                  <c:v>0.32239837398373983</c:v>
                </c:pt>
                <c:pt idx="124">
                  <c:v>0.32078629032258066</c:v>
                </c:pt>
                <c:pt idx="125">
                  <c:v>0.31919999999999993</c:v>
                </c:pt>
                <c:pt idx="126">
                  <c:v>0.31763888888888886</c:v>
                </c:pt>
                <c:pt idx="127">
                  <c:v>0.31610236220472437</c:v>
                </c:pt>
                <c:pt idx="128">
                  <c:v>0.31458984374999999</c:v>
                </c:pt>
                <c:pt idx="129">
                  <c:v>0.31310077519379842</c:v>
                </c:pt>
                <c:pt idx="130">
                  <c:v>0.31163461538461534</c:v>
                </c:pt>
                <c:pt idx="131">
                  <c:v>0.31019083969465638</c:v>
                </c:pt>
                <c:pt idx="132">
                  <c:v>0.3087689393939394</c:v>
                </c:pt>
                <c:pt idx="133">
                  <c:v>0.30736842105263151</c:v>
                </c:pt>
                <c:pt idx="134">
                  <c:v>0.30598880597014921</c:v>
                </c:pt>
                <c:pt idx="135">
                  <c:v>0.30462962962962964</c:v>
                </c:pt>
                <c:pt idx="136">
                  <c:v>0.30329044117647058</c:v>
                </c:pt>
                <c:pt idx="137">
                  <c:v>0.30197080291970796</c:v>
                </c:pt>
                <c:pt idx="138">
                  <c:v>0.30067028985507255</c:v>
                </c:pt>
                <c:pt idx="139">
                  <c:v>0.29938848920863304</c:v>
                </c:pt>
                <c:pt idx="140">
                  <c:v>0.29812499999999997</c:v>
                </c:pt>
                <c:pt idx="141">
                  <c:v>0.29687943262411348</c:v>
                </c:pt>
                <c:pt idx="142">
                  <c:v>0.2956514084507042</c:v>
                </c:pt>
                <c:pt idx="143">
                  <c:v>0.29444055944055941</c:v>
                </c:pt>
                <c:pt idx="144">
                  <c:v>0.29324652777777777</c:v>
                </c:pt>
                <c:pt idx="145">
                  <c:v>0.29206896551724137</c:v>
                </c:pt>
                <c:pt idx="146">
                  <c:v>0.29090753424657534</c:v>
                </c:pt>
                <c:pt idx="147">
                  <c:v>0.28976190476190478</c:v>
                </c:pt>
                <c:pt idx="148">
                  <c:v>0.28863175675675679</c:v>
                </c:pt>
                <c:pt idx="149">
                  <c:v>0.28751677852348989</c:v>
                </c:pt>
                <c:pt idx="150">
                  <c:v>0.28641666666666665</c:v>
                </c:pt>
                <c:pt idx="151">
                  <c:v>0.28533112582781456</c:v>
                </c:pt>
                <c:pt idx="152">
                  <c:v>0.28425986842105261</c:v>
                </c:pt>
                <c:pt idx="153">
                  <c:v>0.28320261437908495</c:v>
                </c:pt>
                <c:pt idx="154">
                  <c:v>0.28215909090909091</c:v>
                </c:pt>
                <c:pt idx="155">
                  <c:v>0.28112903225806446</c:v>
                </c:pt>
                <c:pt idx="156">
                  <c:v>0.28011217948717942</c:v>
                </c:pt>
                <c:pt idx="157">
                  <c:v>0.27910828025477702</c:v>
                </c:pt>
                <c:pt idx="158">
                  <c:v>0.27811708860759493</c:v>
                </c:pt>
                <c:pt idx="159">
                  <c:v>0.27713836477987419</c:v>
                </c:pt>
                <c:pt idx="160">
                  <c:v>0.27617187499999996</c:v>
                </c:pt>
                <c:pt idx="161">
                  <c:v>0.2752173913043478</c:v>
                </c:pt>
                <c:pt idx="162">
                  <c:v>0.27427469135802457</c:v>
                </c:pt>
                <c:pt idx="163">
                  <c:v>0.27334355828220858</c:v>
                </c:pt>
                <c:pt idx="164">
                  <c:v>0.27242378048780491</c:v>
                </c:pt>
                <c:pt idx="165">
                  <c:v>0.27151515151515149</c:v>
                </c:pt>
                <c:pt idx="166">
                  <c:v>0.27061746987951801</c:v>
                </c:pt>
                <c:pt idx="167">
                  <c:v>0.26973053892215565</c:v>
                </c:pt>
                <c:pt idx="168">
                  <c:v>0.26885416666666662</c:v>
                </c:pt>
                <c:pt idx="169">
                  <c:v>0.26798816568047329</c:v>
                </c:pt>
                <c:pt idx="170">
                  <c:v>0.26713235294117643</c:v>
                </c:pt>
                <c:pt idx="171">
                  <c:v>0.26628654970760229</c:v>
                </c:pt>
                <c:pt idx="172">
                  <c:v>0.26545058139534877</c:v>
                </c:pt>
                <c:pt idx="173">
                  <c:v>0.26462427745664735</c:v>
                </c:pt>
                <c:pt idx="174">
                  <c:v>0.26380747126436777</c:v>
                </c:pt>
                <c:pt idx="175">
                  <c:v>0.26299999999999996</c:v>
                </c:pt>
                <c:pt idx="176">
                  <c:v>0.26220170454545455</c:v>
                </c:pt>
                <c:pt idx="177">
                  <c:v>0.26141242937853104</c:v>
                </c:pt>
                <c:pt idx="178">
                  <c:v>0.26063202247191009</c:v>
                </c:pt>
                <c:pt idx="179">
                  <c:v>0.2598603351955307</c:v>
                </c:pt>
                <c:pt idx="180">
                  <c:v>0.25909722222222215</c:v>
                </c:pt>
                <c:pt idx="181">
                  <c:v>0.25834254143646407</c:v>
                </c:pt>
                <c:pt idx="182">
                  <c:v>0.25759615384615381</c:v>
                </c:pt>
                <c:pt idx="183">
                  <c:v>0.25685792349726777</c:v>
                </c:pt>
                <c:pt idx="184">
                  <c:v>0.25612771739130435</c:v>
                </c:pt>
                <c:pt idx="185">
                  <c:v>0.25540540540540529</c:v>
                </c:pt>
                <c:pt idx="186">
                  <c:v>0.25469086021505372</c:v>
                </c:pt>
                <c:pt idx="187">
                  <c:v>0.25398395721925127</c:v>
                </c:pt>
                <c:pt idx="188">
                  <c:v>0.25328457446808506</c:v>
                </c:pt>
                <c:pt idx="189">
                  <c:v>0.25259259259259254</c:v>
                </c:pt>
                <c:pt idx="190">
                  <c:v>0.25190789473684205</c:v>
                </c:pt>
                <c:pt idx="191">
                  <c:v>0.25123036649214658</c:v>
                </c:pt>
                <c:pt idx="192">
                  <c:v>0.25055989583333327</c:v>
                </c:pt>
                <c:pt idx="193">
                  <c:v>0.2498963730569948</c:v>
                </c:pt>
                <c:pt idx="194">
                  <c:v>0.24923969072164945</c:v>
                </c:pt>
                <c:pt idx="195">
                  <c:v>0.24858974358974359</c:v>
                </c:pt>
                <c:pt idx="196">
                  <c:v>0.24794642857142857</c:v>
                </c:pt>
                <c:pt idx="197">
                  <c:v>0.24730964467005073</c:v>
                </c:pt>
                <c:pt idx="198">
                  <c:v>0.24667929292929291</c:v>
                </c:pt>
                <c:pt idx="199">
                  <c:v>0.24605527638190952</c:v>
                </c:pt>
                <c:pt idx="200">
                  <c:v>0.24543749999999995</c:v>
                </c:pt>
                <c:pt idx="201">
                  <c:v>0.24421641791044776</c:v>
                </c:pt>
                <c:pt idx="202">
                  <c:v>0.24300742574257425</c:v>
                </c:pt>
                <c:pt idx="203">
                  <c:v>0.24181034482758618</c:v>
                </c:pt>
                <c:pt idx="204">
                  <c:v>0.24062499999999992</c:v>
                </c:pt>
                <c:pt idx="205">
                  <c:v>0.23945121951219511</c:v>
                </c:pt>
                <c:pt idx="206">
                  <c:v>0.23828883495145628</c:v>
                </c:pt>
                <c:pt idx="207">
                  <c:v>0.23713768115942027</c:v>
                </c:pt>
                <c:pt idx="208">
                  <c:v>0.23599759615384611</c:v>
                </c:pt>
                <c:pt idx="209">
                  <c:v>0.23486842105263159</c:v>
                </c:pt>
                <c:pt idx="210">
                  <c:v>0.23374999999999996</c:v>
                </c:pt>
                <c:pt idx="211">
                  <c:v>0.23264218009478671</c:v>
                </c:pt>
                <c:pt idx="212">
                  <c:v>0.23154481132075466</c:v>
                </c:pt>
                <c:pt idx="213">
                  <c:v>0.23045774647887321</c:v>
                </c:pt>
                <c:pt idx="214">
                  <c:v>0.22938084112149529</c:v>
                </c:pt>
                <c:pt idx="215">
                  <c:v>0.22831395348837208</c:v>
                </c:pt>
                <c:pt idx="216">
                  <c:v>0.22725694444444436</c:v>
                </c:pt>
                <c:pt idx="217">
                  <c:v>0.22620967741935483</c:v>
                </c:pt>
                <c:pt idx="218">
                  <c:v>0.2251720183486238</c:v>
                </c:pt>
                <c:pt idx="219">
                  <c:v>0.22414383561643833</c:v>
                </c:pt>
                <c:pt idx="220">
                  <c:v>0.22312499999999993</c:v>
                </c:pt>
                <c:pt idx="221">
                  <c:v>0.22211538461538463</c:v>
                </c:pt>
                <c:pt idx="222">
                  <c:v>0.22111486486486481</c:v>
                </c:pt>
                <c:pt idx="223">
                  <c:v>0.22012331838565019</c:v>
                </c:pt>
                <c:pt idx="224">
                  <c:v>0.21914062499999995</c:v>
                </c:pt>
                <c:pt idx="225">
                  <c:v>0.21816666666666665</c:v>
                </c:pt>
                <c:pt idx="226">
                  <c:v>0.2172013274336283</c:v>
                </c:pt>
                <c:pt idx="227">
                  <c:v>0.21624449339207041</c:v>
                </c:pt>
                <c:pt idx="228">
                  <c:v>0.21529605263157894</c:v>
                </c:pt>
                <c:pt idx="229">
                  <c:v>0.21435589519650655</c:v>
                </c:pt>
                <c:pt idx="230">
                  <c:v>0.21342391304347824</c:v>
                </c:pt>
                <c:pt idx="231">
                  <c:v>0.21249999999999997</c:v>
                </c:pt>
                <c:pt idx="232">
                  <c:v>0.21158405172413791</c:v>
                </c:pt>
                <c:pt idx="233">
                  <c:v>0.21067596566523603</c:v>
                </c:pt>
                <c:pt idx="234">
                  <c:v>0.209775641025641</c:v>
                </c:pt>
                <c:pt idx="235">
                  <c:v>0.20888297872340419</c:v>
                </c:pt>
                <c:pt idx="236">
                  <c:v>0.2079978813559322</c:v>
                </c:pt>
                <c:pt idx="237">
                  <c:v>0.20712025316455693</c:v>
                </c:pt>
                <c:pt idx="238">
                  <c:v>0.20624999999999999</c:v>
                </c:pt>
                <c:pt idx="239">
                  <c:v>0.20538702928870289</c:v>
                </c:pt>
                <c:pt idx="240">
                  <c:v>0.20453125</c:v>
                </c:pt>
                <c:pt idx="241">
                  <c:v>0.20368257261410785</c:v>
                </c:pt>
                <c:pt idx="242">
                  <c:v>0.20284090909090904</c:v>
                </c:pt>
                <c:pt idx="243">
                  <c:v>0.20200617283950614</c:v>
                </c:pt>
                <c:pt idx="244">
                  <c:v>0.20117827868852456</c:v>
                </c:pt>
                <c:pt idx="245">
                  <c:v>0.20035714285714284</c:v>
                </c:pt>
                <c:pt idx="246">
                  <c:v>0.19954268292682922</c:v>
                </c:pt>
                <c:pt idx="247">
                  <c:v>0.19873481781376512</c:v>
                </c:pt>
                <c:pt idx="248">
                  <c:v>0.19793346774193546</c:v>
                </c:pt>
                <c:pt idx="249">
                  <c:v>0.19713855421686741</c:v>
                </c:pt>
                <c:pt idx="250">
                  <c:v>0.19634999999999994</c:v>
                </c:pt>
                <c:pt idx="251">
                  <c:v>0.19556772908366535</c:v>
                </c:pt>
                <c:pt idx="252">
                  <c:v>0.19479166666666661</c:v>
                </c:pt>
                <c:pt idx="253">
                  <c:v>0.19402173913043477</c:v>
                </c:pt>
                <c:pt idx="254">
                  <c:v>0.19325787401574798</c:v>
                </c:pt>
                <c:pt idx="255">
                  <c:v>0.1925</c:v>
                </c:pt>
                <c:pt idx="256">
                  <c:v>0.19174804687499999</c:v>
                </c:pt>
                <c:pt idx="257">
                  <c:v>0.19100194552529179</c:v>
                </c:pt>
                <c:pt idx="258">
                  <c:v>0.19026162790697673</c:v>
                </c:pt>
                <c:pt idx="259">
                  <c:v>0.18952702702702703</c:v>
                </c:pt>
                <c:pt idx="260">
                  <c:v>0.18879807692307687</c:v>
                </c:pt>
                <c:pt idx="261">
                  <c:v>0.18807471264367817</c:v>
                </c:pt>
                <c:pt idx="262">
                  <c:v>0.1873568702290076</c:v>
                </c:pt>
                <c:pt idx="263">
                  <c:v>0.18664448669201519</c:v>
                </c:pt>
                <c:pt idx="264">
                  <c:v>0.18593749999999998</c:v>
                </c:pt>
                <c:pt idx="265">
                  <c:v>0.18523584905660373</c:v>
                </c:pt>
                <c:pt idx="266">
                  <c:v>0.18453947368421086</c:v>
                </c:pt>
                <c:pt idx="267">
                  <c:v>0.18384831460674192</c:v>
                </c:pt>
                <c:pt idx="268">
                  <c:v>0.18316231343283615</c:v>
                </c:pt>
                <c:pt idx="269">
                  <c:v>0.18248141263940551</c:v>
                </c:pt>
                <c:pt idx="270">
                  <c:v>0.18180555555555591</c:v>
                </c:pt>
                <c:pt idx="271">
                  <c:v>0.18113468634686378</c:v>
                </c:pt>
                <c:pt idx="272">
                  <c:v>0.18046875000000032</c:v>
                </c:pt>
                <c:pt idx="273">
                  <c:v>0.17980769230769258</c:v>
                </c:pt>
                <c:pt idx="274">
                  <c:v>0.1791514598540149</c:v>
                </c:pt>
                <c:pt idx="275">
                  <c:v>0.1785000000000003</c:v>
                </c:pt>
                <c:pt idx="276">
                  <c:v>0.17785326086956552</c:v>
                </c:pt>
                <c:pt idx="277">
                  <c:v>0.1772111913357404</c:v>
                </c:pt>
                <c:pt idx="278">
                  <c:v>0.17657374100719456</c:v>
                </c:pt>
                <c:pt idx="279">
                  <c:v>0.17594086021505406</c:v>
                </c:pt>
                <c:pt idx="280">
                  <c:v>0.17531250000000029</c:v>
                </c:pt>
                <c:pt idx="281">
                  <c:v>0.17468861209964442</c:v>
                </c:pt>
                <c:pt idx="282">
                  <c:v>0.17406914893617051</c:v>
                </c:pt>
                <c:pt idx="283">
                  <c:v>0.17345406360424054</c:v>
                </c:pt>
                <c:pt idx="284">
                  <c:v>0.17284330985915519</c:v>
                </c:pt>
                <c:pt idx="285">
                  <c:v>0.17223684210526344</c:v>
                </c:pt>
                <c:pt idx="286">
                  <c:v>0.17163461538461564</c:v>
                </c:pt>
                <c:pt idx="287">
                  <c:v>0.17103658536585389</c:v>
                </c:pt>
                <c:pt idx="288">
                  <c:v>0.17044270833333361</c:v>
                </c:pt>
                <c:pt idx="289">
                  <c:v>0.16985294117647085</c:v>
                </c:pt>
                <c:pt idx="290">
                  <c:v>0.16926724137931093</c:v>
                </c:pt>
                <c:pt idx="291">
                  <c:v>0.16868556701030984</c:v>
                </c:pt>
                <c:pt idx="292">
                  <c:v>0.16810787671232932</c:v>
                </c:pt>
                <c:pt idx="293">
                  <c:v>0.16753412969283332</c:v>
                </c:pt>
                <c:pt idx="294">
                  <c:v>0.16696428571428629</c:v>
                </c:pt>
                <c:pt idx="295">
                  <c:v>0.16639830508474632</c:v>
                </c:pt>
                <c:pt idx="296">
                  <c:v>0.16583614864864918</c:v>
                </c:pt>
                <c:pt idx="297">
                  <c:v>0.16527777777777833</c:v>
                </c:pt>
                <c:pt idx="298">
                  <c:v>0.16472315436241663</c:v>
                </c:pt>
                <c:pt idx="299">
                  <c:v>0.16417224080267612</c:v>
                </c:pt>
                <c:pt idx="300">
                  <c:v>0.16362500000000052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D5-4E51-830C-0C2F6BA98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7670320"/>
        <c:axId val="1877668400"/>
      </c:lineChart>
      <c:catAx>
        <c:axId val="187767032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05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</a:t>
                </a:r>
              </a:p>
            </c:rich>
          </c:tx>
          <c:layout>
            <c:manualLayout>
              <c:xMode val="edge"/>
              <c:yMode val="edge"/>
              <c:x val="0.56300407900919314"/>
              <c:y val="0.913140188940524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7668400"/>
        <c:crosses val="autoZero"/>
        <c:auto val="1"/>
        <c:lblAlgn val="ctr"/>
        <c:lblOffset val="100"/>
        <c:noMultiLvlLbl val="0"/>
      </c:catAx>
      <c:valAx>
        <c:axId val="187766840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05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A*B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7670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2C2C2C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fa-IR" sz="16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Times New Roman" panose="02020603050405020304" pitchFamily="18" charset="0"/>
                <a:cs typeface="B Nazanin" panose="00000400000000000000" pitchFamily="2" charset="-78"/>
              </a:rPr>
              <a:t>طیف طرح استاندارد</a:t>
            </a:r>
            <a:endParaRPr lang="en-US" sz="16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cs typeface="B Nazanin" panose="00000400000000000000" pitchFamily="2" charset="-78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" lastClr="FFFFFF">
                    <a:lumMod val="95000"/>
                  </a:sysClr>
                </a:solidFill>
              </a:defRPr>
            </a:pPr>
            <a:r>
              <a:rPr lang="en-US">
                <a:latin typeface="Times New Roman" panose="02020603050405020304" pitchFamily="18" charset="0"/>
                <a:cs typeface="Times New Roman" panose="02020603050405020304" pitchFamily="18" charset="0"/>
              </a:rPr>
              <a:t>Sa-T</a:t>
            </a:r>
            <a:endParaRPr lang="fa-IR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6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'(2800-V5)-۲ضریب زلزله '!$AW$3</c:f>
              <c:strCache>
                <c:ptCount val="1"/>
                <c:pt idx="0">
                  <c:v>Sa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'(2800-V5)-۲ضریب زلزله '!$AV$4:$AV$449</c:f>
              <c:numCache>
                <c:formatCode>0.00</c:formatCode>
                <c:ptCount val="446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5.4600000000000097</c:v>
                </c:pt>
                <c:pt idx="274">
                  <c:v>5.4800000000000102</c:v>
                </c:pt>
                <c:pt idx="275">
                  <c:v>5.5000000000000098</c:v>
                </c:pt>
                <c:pt idx="276">
                  <c:v>5.5200000000000102</c:v>
                </c:pt>
                <c:pt idx="277">
                  <c:v>5.5400000000000098</c:v>
                </c:pt>
                <c:pt idx="278">
                  <c:v>5.5600000000000103</c:v>
                </c:pt>
                <c:pt idx="279">
                  <c:v>5.5800000000000098</c:v>
                </c:pt>
                <c:pt idx="280">
                  <c:v>5.6000000000000103</c:v>
                </c:pt>
                <c:pt idx="281">
                  <c:v>5.6200000000000099</c:v>
                </c:pt>
                <c:pt idx="282">
                  <c:v>5.6400000000000103</c:v>
                </c:pt>
                <c:pt idx="283">
                  <c:v>5.6600000000000099</c:v>
                </c:pt>
                <c:pt idx="284">
                  <c:v>5.6800000000000104</c:v>
                </c:pt>
                <c:pt idx="285">
                  <c:v>5.7000000000000099</c:v>
                </c:pt>
                <c:pt idx="286">
                  <c:v>5.7200000000000104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6.1999999999999904</c:v>
                </c:pt>
                <c:pt idx="311">
                  <c:v>6.21999999999999</c:v>
                </c:pt>
                <c:pt idx="312">
                  <c:v>6.2399999999999904</c:v>
                </c:pt>
                <c:pt idx="313">
                  <c:v>6.25999999999999</c:v>
                </c:pt>
                <c:pt idx="314">
                  <c:v>6.2799999999999896</c:v>
                </c:pt>
                <c:pt idx="315">
                  <c:v>6.2999999999999901</c:v>
                </c:pt>
                <c:pt idx="316">
                  <c:v>6.3199999999999896</c:v>
                </c:pt>
                <c:pt idx="317">
                  <c:v>6.3399999999999901</c:v>
                </c:pt>
                <c:pt idx="318">
                  <c:v>6.3599999999999897</c:v>
                </c:pt>
                <c:pt idx="319">
                  <c:v>6.3799999999999901</c:v>
                </c:pt>
                <c:pt idx="320">
                  <c:v>6.3999999999999897</c:v>
                </c:pt>
                <c:pt idx="321">
                  <c:v>6.4199999999999902</c:v>
                </c:pt>
                <c:pt idx="322">
                  <c:v>6.4399999999999897</c:v>
                </c:pt>
                <c:pt idx="323">
                  <c:v>6.4599999999999902</c:v>
                </c:pt>
                <c:pt idx="324">
                  <c:v>6.4799999999999898</c:v>
                </c:pt>
                <c:pt idx="325">
                  <c:v>6.4999999999999902</c:v>
                </c:pt>
                <c:pt idx="326">
                  <c:v>6.5199999999999898</c:v>
                </c:pt>
                <c:pt idx="327">
                  <c:v>6.5399999999999903</c:v>
                </c:pt>
                <c:pt idx="328">
                  <c:v>6.5599999999999898</c:v>
                </c:pt>
                <c:pt idx="329">
                  <c:v>6.5799999999999903</c:v>
                </c:pt>
                <c:pt idx="330">
                  <c:v>6.5999999999999899</c:v>
                </c:pt>
                <c:pt idx="331">
                  <c:v>6.6199999999999903</c:v>
                </c:pt>
                <c:pt idx="332">
                  <c:v>6.6399999999999899</c:v>
                </c:pt>
                <c:pt idx="333">
                  <c:v>6.6599999999999797</c:v>
                </c:pt>
                <c:pt idx="334">
                  <c:v>6.6799999999999802</c:v>
                </c:pt>
                <c:pt idx="335">
                  <c:v>6.6999999999999797</c:v>
                </c:pt>
                <c:pt idx="336">
                  <c:v>6.7199999999999802</c:v>
                </c:pt>
                <c:pt idx="337">
                  <c:v>6.7399999999999798</c:v>
                </c:pt>
                <c:pt idx="338">
                  <c:v>6.7599999999999802</c:v>
                </c:pt>
                <c:pt idx="339">
                  <c:v>6.7799999999999798</c:v>
                </c:pt>
                <c:pt idx="340">
                  <c:v>6.7999999999999803</c:v>
                </c:pt>
                <c:pt idx="341">
                  <c:v>6.8199999999999799</c:v>
                </c:pt>
                <c:pt idx="342">
                  <c:v>6.8399999999999803</c:v>
                </c:pt>
                <c:pt idx="343">
                  <c:v>6.8599999999999799</c:v>
                </c:pt>
                <c:pt idx="344">
                  <c:v>6.8799999999999804</c:v>
                </c:pt>
                <c:pt idx="345">
                  <c:v>6.8999999999999799</c:v>
                </c:pt>
                <c:pt idx="346">
                  <c:v>6.9199999999999804</c:v>
                </c:pt>
                <c:pt idx="347">
                  <c:v>6.93999999999998</c:v>
                </c:pt>
                <c:pt idx="348">
                  <c:v>6.9599999999999804</c:v>
                </c:pt>
                <c:pt idx="349">
                  <c:v>6.97999999999998</c:v>
                </c:pt>
                <c:pt idx="350">
                  <c:v>6.9999999999999796</c:v>
                </c:pt>
                <c:pt idx="351">
                  <c:v>7.01999999999998</c:v>
                </c:pt>
                <c:pt idx="352">
                  <c:v>7.0399999999999796</c:v>
                </c:pt>
                <c:pt idx="353">
                  <c:v>7.0599999999999801</c:v>
                </c:pt>
                <c:pt idx="354">
                  <c:v>7.0799999999999796</c:v>
                </c:pt>
                <c:pt idx="355">
                  <c:v>7.0999999999999801</c:v>
                </c:pt>
                <c:pt idx="356">
                  <c:v>7.1199999999999797</c:v>
                </c:pt>
                <c:pt idx="357">
                  <c:v>7.1399999999999704</c:v>
                </c:pt>
                <c:pt idx="358">
                  <c:v>7.1599999999999699</c:v>
                </c:pt>
                <c:pt idx="359">
                  <c:v>7.1799999999999704</c:v>
                </c:pt>
                <c:pt idx="360">
                  <c:v>7.19999999999997</c:v>
                </c:pt>
                <c:pt idx="361">
                  <c:v>7.2199999999999704</c:v>
                </c:pt>
                <c:pt idx="362">
                  <c:v>7.23999999999997</c:v>
                </c:pt>
                <c:pt idx="363">
                  <c:v>7.2599999999999696</c:v>
                </c:pt>
                <c:pt idx="364">
                  <c:v>7.2799999999999701</c:v>
                </c:pt>
                <c:pt idx="365">
                  <c:v>7.2999999999999696</c:v>
                </c:pt>
                <c:pt idx="366">
                  <c:v>7.3199999999999701</c:v>
                </c:pt>
                <c:pt idx="367">
                  <c:v>7.3399999999999697</c:v>
                </c:pt>
                <c:pt idx="368">
                  <c:v>7.3599999999999701</c:v>
                </c:pt>
                <c:pt idx="369">
                  <c:v>7.3799999999999697</c:v>
                </c:pt>
                <c:pt idx="370">
                  <c:v>7.3999999999999702</c:v>
                </c:pt>
                <c:pt idx="371">
                  <c:v>7.4199999999999697</c:v>
                </c:pt>
                <c:pt idx="372">
                  <c:v>7.4399999999999702</c:v>
                </c:pt>
                <c:pt idx="373">
                  <c:v>7.4599999999999698</c:v>
                </c:pt>
                <c:pt idx="374">
                  <c:v>7.4799999999999702</c:v>
                </c:pt>
                <c:pt idx="375">
                  <c:v>7.4999999999999698</c:v>
                </c:pt>
              </c:numCache>
            </c:numRef>
          </c:cat>
          <c:val>
            <c:numRef>
              <c:f>'(2800-V5)-۲ضریب زلزله '!$AW$4:$AW$449</c:f>
              <c:numCache>
                <c:formatCode>0.00000</c:formatCode>
                <c:ptCount val="446"/>
                <c:pt idx="0">
                  <c:v>0.36000000000000004</c:v>
                </c:pt>
                <c:pt idx="1">
                  <c:v>0.45346153846153847</c:v>
                </c:pt>
                <c:pt idx="2">
                  <c:v>0.54692307692307696</c:v>
                </c:pt>
                <c:pt idx="3">
                  <c:v>0.64038461538461533</c:v>
                </c:pt>
                <c:pt idx="4">
                  <c:v>0.73384615384615381</c:v>
                </c:pt>
                <c:pt idx="5">
                  <c:v>0.8273076923076923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0.9</c:v>
                </c:pt>
                <c:pt idx="19">
                  <c:v>0.9</c:v>
                </c:pt>
                <c:pt idx="20">
                  <c:v>0.9</c:v>
                </c:pt>
                <c:pt idx="21">
                  <c:v>0.9</c:v>
                </c:pt>
                <c:pt idx="22">
                  <c:v>0.9</c:v>
                </c:pt>
                <c:pt idx="23">
                  <c:v>0.9</c:v>
                </c:pt>
                <c:pt idx="24">
                  <c:v>0.9</c:v>
                </c:pt>
                <c:pt idx="25">
                  <c:v>0.9</c:v>
                </c:pt>
                <c:pt idx="26">
                  <c:v>0.9</c:v>
                </c:pt>
                <c:pt idx="27">
                  <c:v>0.9</c:v>
                </c:pt>
                <c:pt idx="28">
                  <c:v>0.9</c:v>
                </c:pt>
                <c:pt idx="29">
                  <c:v>0.89655172413793116</c:v>
                </c:pt>
                <c:pt idx="30">
                  <c:v>0.8666666666666667</c:v>
                </c:pt>
                <c:pt idx="31">
                  <c:v>0.83870967741935487</c:v>
                </c:pt>
                <c:pt idx="32">
                  <c:v>0.8125</c:v>
                </c:pt>
                <c:pt idx="33">
                  <c:v>0.78787878787878785</c:v>
                </c:pt>
                <c:pt idx="34">
                  <c:v>0.76470588235294112</c:v>
                </c:pt>
                <c:pt idx="35">
                  <c:v>0.74285714285714288</c:v>
                </c:pt>
                <c:pt idx="36">
                  <c:v>0.72222222222222232</c:v>
                </c:pt>
                <c:pt idx="37">
                  <c:v>0.70270270270270274</c:v>
                </c:pt>
                <c:pt idx="38">
                  <c:v>0.68421052631578949</c:v>
                </c:pt>
                <c:pt idx="39">
                  <c:v>0.66666666666666663</c:v>
                </c:pt>
                <c:pt idx="40">
                  <c:v>0.65</c:v>
                </c:pt>
                <c:pt idx="41">
                  <c:v>0.63414634146341464</c:v>
                </c:pt>
                <c:pt idx="42">
                  <c:v>0.61904761904761907</c:v>
                </c:pt>
                <c:pt idx="43">
                  <c:v>0.60465116279069775</c:v>
                </c:pt>
                <c:pt idx="44">
                  <c:v>0.59090909090909094</c:v>
                </c:pt>
                <c:pt idx="45">
                  <c:v>0.57777777777777783</c:v>
                </c:pt>
                <c:pt idx="46">
                  <c:v>0.56521739130434778</c:v>
                </c:pt>
                <c:pt idx="47">
                  <c:v>0.55319148936170215</c:v>
                </c:pt>
                <c:pt idx="48">
                  <c:v>0.54166666666666674</c:v>
                </c:pt>
                <c:pt idx="49">
                  <c:v>0.53061224489795922</c:v>
                </c:pt>
                <c:pt idx="50">
                  <c:v>0.52</c:v>
                </c:pt>
                <c:pt idx="51">
                  <c:v>0.50980392156862742</c:v>
                </c:pt>
                <c:pt idx="52">
                  <c:v>0.5</c:v>
                </c:pt>
                <c:pt idx="53">
                  <c:v>0.49056603773584906</c:v>
                </c:pt>
                <c:pt idx="54">
                  <c:v>0.48148148148148145</c:v>
                </c:pt>
                <c:pt idx="55">
                  <c:v>0.47272727272727272</c:v>
                </c:pt>
                <c:pt idx="56">
                  <c:v>0.46428571428571425</c:v>
                </c:pt>
                <c:pt idx="57">
                  <c:v>0.45614035087719301</c:v>
                </c:pt>
                <c:pt idx="58">
                  <c:v>0.44827586206896558</c:v>
                </c:pt>
                <c:pt idx="59">
                  <c:v>0.44067796610169496</c:v>
                </c:pt>
                <c:pt idx="60">
                  <c:v>0.43333333333333335</c:v>
                </c:pt>
                <c:pt idx="61">
                  <c:v>0.42622950819672134</c:v>
                </c:pt>
                <c:pt idx="62">
                  <c:v>0.41935483870967744</c:v>
                </c:pt>
                <c:pt idx="63">
                  <c:v>0.41269841269841273</c:v>
                </c:pt>
                <c:pt idx="64">
                  <c:v>0.40625</c:v>
                </c:pt>
                <c:pt idx="65">
                  <c:v>0.4</c:v>
                </c:pt>
                <c:pt idx="66">
                  <c:v>0.39393939393939392</c:v>
                </c:pt>
                <c:pt idx="67">
                  <c:v>0.38805970149253732</c:v>
                </c:pt>
                <c:pt idx="68">
                  <c:v>0.38235294117647056</c:v>
                </c:pt>
                <c:pt idx="69">
                  <c:v>0.37681159420289861</c:v>
                </c:pt>
                <c:pt idx="70">
                  <c:v>0.37142857142857144</c:v>
                </c:pt>
                <c:pt idx="71">
                  <c:v>0.36619718309859156</c:v>
                </c:pt>
                <c:pt idx="72">
                  <c:v>0.36111111111111116</c:v>
                </c:pt>
                <c:pt idx="73">
                  <c:v>0.35616438356164387</c:v>
                </c:pt>
                <c:pt idx="74">
                  <c:v>0.35135135135135137</c:v>
                </c:pt>
                <c:pt idx="75">
                  <c:v>0.34666666666666668</c:v>
                </c:pt>
                <c:pt idx="76">
                  <c:v>0.34210526315789475</c:v>
                </c:pt>
                <c:pt idx="77">
                  <c:v>0.33766233766233766</c:v>
                </c:pt>
                <c:pt idx="78">
                  <c:v>0.33333333333333331</c:v>
                </c:pt>
                <c:pt idx="79">
                  <c:v>0.32911392405063289</c:v>
                </c:pt>
                <c:pt idx="80">
                  <c:v>0.32500000000000001</c:v>
                </c:pt>
                <c:pt idx="81">
                  <c:v>0.32098765432098764</c:v>
                </c:pt>
                <c:pt idx="82">
                  <c:v>0.31707317073170732</c:v>
                </c:pt>
                <c:pt idx="83">
                  <c:v>0.31325301204819278</c:v>
                </c:pt>
                <c:pt idx="84">
                  <c:v>0.30952380952380953</c:v>
                </c:pt>
                <c:pt idx="85">
                  <c:v>0.30588235294117649</c:v>
                </c:pt>
                <c:pt idx="86">
                  <c:v>0.30232558139534887</c:v>
                </c:pt>
                <c:pt idx="87">
                  <c:v>0.2988505747126437</c:v>
                </c:pt>
                <c:pt idx="88">
                  <c:v>0.29545454545454547</c:v>
                </c:pt>
                <c:pt idx="89">
                  <c:v>0.29213483146067415</c:v>
                </c:pt>
                <c:pt idx="90">
                  <c:v>0.28888888888888892</c:v>
                </c:pt>
                <c:pt idx="91">
                  <c:v>0.2857142857142857</c:v>
                </c:pt>
                <c:pt idx="92">
                  <c:v>0.28260869565217389</c:v>
                </c:pt>
                <c:pt idx="93">
                  <c:v>0.27956989247311825</c:v>
                </c:pt>
                <c:pt idx="94">
                  <c:v>0.27659574468085107</c:v>
                </c:pt>
                <c:pt idx="95">
                  <c:v>0.27368421052631581</c:v>
                </c:pt>
                <c:pt idx="96">
                  <c:v>0.27083333333333337</c:v>
                </c:pt>
                <c:pt idx="97">
                  <c:v>0.26804123711340205</c:v>
                </c:pt>
                <c:pt idx="98">
                  <c:v>0.26530612244897961</c:v>
                </c:pt>
                <c:pt idx="99">
                  <c:v>0.26262626262626265</c:v>
                </c:pt>
                <c:pt idx="100">
                  <c:v>0.26</c:v>
                </c:pt>
                <c:pt idx="101">
                  <c:v>0.25742574257425743</c:v>
                </c:pt>
                <c:pt idx="102">
                  <c:v>0.25490196078431371</c:v>
                </c:pt>
                <c:pt idx="103">
                  <c:v>0.25242718446601942</c:v>
                </c:pt>
                <c:pt idx="104">
                  <c:v>0.25</c:v>
                </c:pt>
                <c:pt idx="105">
                  <c:v>0.24761904761904763</c:v>
                </c:pt>
                <c:pt idx="106">
                  <c:v>0.24528301886792453</c:v>
                </c:pt>
                <c:pt idx="107">
                  <c:v>0.24299065420560748</c:v>
                </c:pt>
                <c:pt idx="108">
                  <c:v>0.24074074074074073</c:v>
                </c:pt>
                <c:pt idx="109">
                  <c:v>0.2385321100917431</c:v>
                </c:pt>
                <c:pt idx="110">
                  <c:v>0.23636363636363636</c:v>
                </c:pt>
                <c:pt idx="111">
                  <c:v>0.23423423423423423</c:v>
                </c:pt>
                <c:pt idx="112">
                  <c:v>0.23214285714285712</c:v>
                </c:pt>
                <c:pt idx="113">
                  <c:v>0.23008849557522126</c:v>
                </c:pt>
                <c:pt idx="114">
                  <c:v>0.22807017543859651</c:v>
                </c:pt>
                <c:pt idx="115">
                  <c:v>0.22608695652173916</c:v>
                </c:pt>
                <c:pt idx="116">
                  <c:v>0.22413793103448279</c:v>
                </c:pt>
                <c:pt idx="117">
                  <c:v>0.22222222222222224</c:v>
                </c:pt>
                <c:pt idx="118">
                  <c:v>0.22033898305084748</c:v>
                </c:pt>
                <c:pt idx="119">
                  <c:v>0.21848739495798322</c:v>
                </c:pt>
                <c:pt idx="120">
                  <c:v>0.21666666666666667</c:v>
                </c:pt>
                <c:pt idx="121">
                  <c:v>0.21487603305785125</c:v>
                </c:pt>
                <c:pt idx="122">
                  <c:v>0.21311475409836067</c:v>
                </c:pt>
                <c:pt idx="123">
                  <c:v>0.21138211382113822</c:v>
                </c:pt>
                <c:pt idx="124">
                  <c:v>0.20967741935483872</c:v>
                </c:pt>
                <c:pt idx="125">
                  <c:v>0.20800000000000002</c:v>
                </c:pt>
                <c:pt idx="126">
                  <c:v>0.20634920634920637</c:v>
                </c:pt>
                <c:pt idx="127">
                  <c:v>0.20472440944881889</c:v>
                </c:pt>
                <c:pt idx="128">
                  <c:v>0.203125</c:v>
                </c:pt>
                <c:pt idx="129">
                  <c:v>0.20155038759689922</c:v>
                </c:pt>
                <c:pt idx="130">
                  <c:v>0.2</c:v>
                </c:pt>
                <c:pt idx="131">
                  <c:v>0.19847328244274809</c:v>
                </c:pt>
                <c:pt idx="132">
                  <c:v>0.19696969696969696</c:v>
                </c:pt>
                <c:pt idx="133">
                  <c:v>0.19548872180451127</c:v>
                </c:pt>
                <c:pt idx="134">
                  <c:v>0.19402985074626866</c:v>
                </c:pt>
                <c:pt idx="135">
                  <c:v>0.19259259259259259</c:v>
                </c:pt>
                <c:pt idx="136">
                  <c:v>0.19117647058823528</c:v>
                </c:pt>
                <c:pt idx="137">
                  <c:v>0.18978102189781021</c:v>
                </c:pt>
                <c:pt idx="138">
                  <c:v>0.18840579710144931</c:v>
                </c:pt>
                <c:pt idx="139">
                  <c:v>0.18705035971223025</c:v>
                </c:pt>
                <c:pt idx="140">
                  <c:v>0.18571428571428572</c:v>
                </c:pt>
                <c:pt idx="141">
                  <c:v>0.18439716312056739</c:v>
                </c:pt>
                <c:pt idx="142">
                  <c:v>0.18309859154929578</c:v>
                </c:pt>
                <c:pt idx="143">
                  <c:v>0.18181818181818182</c:v>
                </c:pt>
                <c:pt idx="144">
                  <c:v>0.18055555555555558</c:v>
                </c:pt>
                <c:pt idx="145">
                  <c:v>0.17931034482758623</c:v>
                </c:pt>
                <c:pt idx="146">
                  <c:v>0.17808219178082194</c:v>
                </c:pt>
                <c:pt idx="147">
                  <c:v>0.17687074829931973</c:v>
                </c:pt>
                <c:pt idx="148">
                  <c:v>0.17567567567567569</c:v>
                </c:pt>
                <c:pt idx="149">
                  <c:v>0.17449664429530201</c:v>
                </c:pt>
                <c:pt idx="150">
                  <c:v>0.17333333333333334</c:v>
                </c:pt>
                <c:pt idx="151">
                  <c:v>0.17218543046357615</c:v>
                </c:pt>
                <c:pt idx="152">
                  <c:v>0.17105263157894737</c:v>
                </c:pt>
                <c:pt idx="153">
                  <c:v>0.16993464052287582</c:v>
                </c:pt>
                <c:pt idx="154">
                  <c:v>0.16883116883116883</c:v>
                </c:pt>
                <c:pt idx="155">
                  <c:v>0.16774193548387098</c:v>
                </c:pt>
                <c:pt idx="156">
                  <c:v>0.16666666666666666</c:v>
                </c:pt>
                <c:pt idx="157">
                  <c:v>0.16560509554140126</c:v>
                </c:pt>
                <c:pt idx="158">
                  <c:v>0.16455696202531644</c:v>
                </c:pt>
                <c:pt idx="159">
                  <c:v>0.16352201257861634</c:v>
                </c:pt>
                <c:pt idx="160">
                  <c:v>0.16250000000000001</c:v>
                </c:pt>
                <c:pt idx="161">
                  <c:v>0.16149068322981366</c:v>
                </c:pt>
                <c:pt idx="162">
                  <c:v>0.16049382716049382</c:v>
                </c:pt>
                <c:pt idx="163">
                  <c:v>0.15950920245398775</c:v>
                </c:pt>
                <c:pt idx="164">
                  <c:v>0.15853658536585366</c:v>
                </c:pt>
                <c:pt idx="165">
                  <c:v>0.15757575757575759</c:v>
                </c:pt>
                <c:pt idx="166">
                  <c:v>0.15662650602409639</c:v>
                </c:pt>
                <c:pt idx="167">
                  <c:v>0.15568862275449102</c:v>
                </c:pt>
                <c:pt idx="168">
                  <c:v>0.15476190476190477</c:v>
                </c:pt>
                <c:pt idx="169">
                  <c:v>0.15384615384615385</c:v>
                </c:pt>
                <c:pt idx="170">
                  <c:v>0.15294117647058825</c:v>
                </c:pt>
                <c:pt idx="171">
                  <c:v>0.15204678362573101</c:v>
                </c:pt>
                <c:pt idx="172">
                  <c:v>0.15116279069767444</c:v>
                </c:pt>
                <c:pt idx="173">
                  <c:v>0.15028901734104047</c:v>
                </c:pt>
                <c:pt idx="174">
                  <c:v>0.14942528735632185</c:v>
                </c:pt>
                <c:pt idx="175">
                  <c:v>0.14857142857142858</c:v>
                </c:pt>
                <c:pt idx="176">
                  <c:v>0.14772727272727273</c:v>
                </c:pt>
                <c:pt idx="177">
                  <c:v>0.14689265536723164</c:v>
                </c:pt>
                <c:pt idx="178">
                  <c:v>0.14606741573033707</c:v>
                </c:pt>
                <c:pt idx="179">
                  <c:v>0.14525139664804471</c:v>
                </c:pt>
                <c:pt idx="180">
                  <c:v>0.14444444444444446</c:v>
                </c:pt>
                <c:pt idx="181">
                  <c:v>0.143646408839779</c:v>
                </c:pt>
                <c:pt idx="182">
                  <c:v>0.14285714285714285</c:v>
                </c:pt>
                <c:pt idx="183">
                  <c:v>0.14207650273224043</c:v>
                </c:pt>
                <c:pt idx="184">
                  <c:v>0.14130434782608695</c:v>
                </c:pt>
                <c:pt idx="185">
                  <c:v>0.14054054054054055</c:v>
                </c:pt>
                <c:pt idx="186">
                  <c:v>0.13978494623655913</c:v>
                </c:pt>
                <c:pt idx="187">
                  <c:v>0.13903743315508021</c:v>
                </c:pt>
                <c:pt idx="188">
                  <c:v>0.13829787234042554</c:v>
                </c:pt>
                <c:pt idx="189">
                  <c:v>0.13756613756613759</c:v>
                </c:pt>
                <c:pt idx="190">
                  <c:v>0.1368421052631579</c:v>
                </c:pt>
                <c:pt idx="191">
                  <c:v>0.13612565445026178</c:v>
                </c:pt>
                <c:pt idx="192">
                  <c:v>0.13541666666666669</c:v>
                </c:pt>
                <c:pt idx="193">
                  <c:v>0.13471502590673576</c:v>
                </c:pt>
                <c:pt idx="194">
                  <c:v>0.13402061855670103</c:v>
                </c:pt>
                <c:pt idx="195">
                  <c:v>0.13333333333333333</c:v>
                </c:pt>
                <c:pt idx="196">
                  <c:v>0.1326530612244898</c:v>
                </c:pt>
                <c:pt idx="197">
                  <c:v>0.13197969543147209</c:v>
                </c:pt>
                <c:pt idx="198">
                  <c:v>0.13131313131313133</c:v>
                </c:pt>
                <c:pt idx="199">
                  <c:v>0.1306532663316583</c:v>
                </c:pt>
                <c:pt idx="200">
                  <c:v>0.13</c:v>
                </c:pt>
                <c:pt idx="201">
                  <c:v>0.12935323383084579</c:v>
                </c:pt>
                <c:pt idx="202">
                  <c:v>0.12871287128712872</c:v>
                </c:pt>
                <c:pt idx="203">
                  <c:v>0.12807881773399016</c:v>
                </c:pt>
                <c:pt idx="204">
                  <c:v>0.12745098039215685</c:v>
                </c:pt>
                <c:pt idx="205">
                  <c:v>0.12682926829268293</c:v>
                </c:pt>
                <c:pt idx="206">
                  <c:v>0.12621359223300971</c:v>
                </c:pt>
                <c:pt idx="207">
                  <c:v>0.12560386473429952</c:v>
                </c:pt>
                <c:pt idx="208">
                  <c:v>0.125</c:v>
                </c:pt>
                <c:pt idx="209">
                  <c:v>0.1244019138755981</c:v>
                </c:pt>
                <c:pt idx="210">
                  <c:v>0.12380952380952381</c:v>
                </c:pt>
                <c:pt idx="211">
                  <c:v>0.12322274881516589</c:v>
                </c:pt>
                <c:pt idx="212">
                  <c:v>0.12264150943396226</c:v>
                </c:pt>
                <c:pt idx="213">
                  <c:v>0.12206572769953053</c:v>
                </c:pt>
                <c:pt idx="214">
                  <c:v>0.12149532710280374</c:v>
                </c:pt>
                <c:pt idx="215">
                  <c:v>0.12093023255813955</c:v>
                </c:pt>
                <c:pt idx="216">
                  <c:v>0.12037037037037036</c:v>
                </c:pt>
                <c:pt idx="217">
                  <c:v>0.11981566820276499</c:v>
                </c:pt>
                <c:pt idx="218">
                  <c:v>0.11926605504587155</c:v>
                </c:pt>
                <c:pt idx="219">
                  <c:v>0.11872146118721462</c:v>
                </c:pt>
                <c:pt idx="220">
                  <c:v>0.11818181818181818</c:v>
                </c:pt>
                <c:pt idx="221">
                  <c:v>0.11764705882352942</c:v>
                </c:pt>
                <c:pt idx="222">
                  <c:v>0.11711711711711711</c:v>
                </c:pt>
                <c:pt idx="223">
                  <c:v>0.11659192825112108</c:v>
                </c:pt>
                <c:pt idx="224">
                  <c:v>0.11607142857142856</c:v>
                </c:pt>
                <c:pt idx="225">
                  <c:v>0.11555555555555556</c:v>
                </c:pt>
                <c:pt idx="226">
                  <c:v>0.11504424778761063</c:v>
                </c:pt>
                <c:pt idx="227">
                  <c:v>0.11453744493392071</c:v>
                </c:pt>
                <c:pt idx="228">
                  <c:v>0.11403508771929825</c:v>
                </c:pt>
                <c:pt idx="229">
                  <c:v>0.11353711790393013</c:v>
                </c:pt>
                <c:pt idx="230">
                  <c:v>0.11304347826086958</c:v>
                </c:pt>
                <c:pt idx="231">
                  <c:v>0.11255411255411256</c:v>
                </c:pt>
                <c:pt idx="232">
                  <c:v>0.1120689655172414</c:v>
                </c:pt>
                <c:pt idx="233">
                  <c:v>0.11158798283261803</c:v>
                </c:pt>
                <c:pt idx="234">
                  <c:v>0.11111111111111112</c:v>
                </c:pt>
                <c:pt idx="235">
                  <c:v>0.11063829787234042</c:v>
                </c:pt>
                <c:pt idx="236">
                  <c:v>0.11016949152542374</c:v>
                </c:pt>
                <c:pt idx="237">
                  <c:v>0.10970464135021096</c:v>
                </c:pt>
                <c:pt idx="238">
                  <c:v>0.10924369747899161</c:v>
                </c:pt>
                <c:pt idx="239">
                  <c:v>0.10878661087866108</c:v>
                </c:pt>
                <c:pt idx="240">
                  <c:v>0.10833333333333334</c:v>
                </c:pt>
                <c:pt idx="241">
                  <c:v>0.10788381742738588</c:v>
                </c:pt>
                <c:pt idx="242">
                  <c:v>0.10743801652892562</c:v>
                </c:pt>
                <c:pt idx="243">
                  <c:v>0.10699588477366255</c:v>
                </c:pt>
                <c:pt idx="244">
                  <c:v>0.10655737704918034</c:v>
                </c:pt>
                <c:pt idx="245">
                  <c:v>0.10612244897959183</c:v>
                </c:pt>
                <c:pt idx="246">
                  <c:v>0.10569105691056911</c:v>
                </c:pt>
                <c:pt idx="247">
                  <c:v>0.10526315789473684</c:v>
                </c:pt>
                <c:pt idx="248">
                  <c:v>0.10483870967741936</c:v>
                </c:pt>
                <c:pt idx="249">
                  <c:v>0.10441767068273092</c:v>
                </c:pt>
                <c:pt idx="250">
                  <c:v>0.10400000000000001</c:v>
                </c:pt>
                <c:pt idx="251">
                  <c:v>0.10358565737051795</c:v>
                </c:pt>
                <c:pt idx="252">
                  <c:v>0.10317460317460318</c:v>
                </c:pt>
                <c:pt idx="253">
                  <c:v>0.10276679841897235</c:v>
                </c:pt>
                <c:pt idx="254">
                  <c:v>0.10236220472440945</c:v>
                </c:pt>
                <c:pt idx="255">
                  <c:v>0.1019607843137255</c:v>
                </c:pt>
                <c:pt idx="256">
                  <c:v>0.1015625</c:v>
                </c:pt>
                <c:pt idx="257">
                  <c:v>0.10116731517509729</c:v>
                </c:pt>
                <c:pt idx="258">
                  <c:v>0.10077519379844961</c:v>
                </c:pt>
                <c:pt idx="259">
                  <c:v>0.10038610038610039</c:v>
                </c:pt>
                <c:pt idx="260">
                  <c:v>0.1</c:v>
                </c:pt>
                <c:pt idx="261">
                  <c:v>9.9616858237547901E-2</c:v>
                </c:pt>
                <c:pt idx="262">
                  <c:v>9.9236641221374045E-2</c:v>
                </c:pt>
                <c:pt idx="263">
                  <c:v>9.8859315589353625E-2</c:v>
                </c:pt>
                <c:pt idx="264">
                  <c:v>9.8484848484848481E-2</c:v>
                </c:pt>
                <c:pt idx="265">
                  <c:v>9.8113207547169817E-2</c:v>
                </c:pt>
                <c:pt idx="266">
                  <c:v>9.7744360902255634E-2</c:v>
                </c:pt>
                <c:pt idx="267">
                  <c:v>9.7378277153558054E-2</c:v>
                </c:pt>
                <c:pt idx="268">
                  <c:v>9.7014925373134331E-2</c:v>
                </c:pt>
                <c:pt idx="269">
                  <c:v>9.6654275092936809E-2</c:v>
                </c:pt>
                <c:pt idx="270">
                  <c:v>9.6296296296296297E-2</c:v>
                </c:pt>
                <c:pt idx="271">
                  <c:v>9.5940959409594101E-2</c:v>
                </c:pt>
                <c:pt idx="272">
                  <c:v>9.5588235294117641E-2</c:v>
                </c:pt>
                <c:pt idx="273">
                  <c:v>9.5238095238095066E-2</c:v>
                </c:pt>
                <c:pt idx="274">
                  <c:v>9.4890510948904938E-2</c:v>
                </c:pt>
                <c:pt idx="275">
                  <c:v>9.4545454545454377E-2</c:v>
                </c:pt>
                <c:pt idx="276">
                  <c:v>9.4202898550724473E-2</c:v>
                </c:pt>
                <c:pt idx="277">
                  <c:v>9.3862815884476369E-2</c:v>
                </c:pt>
                <c:pt idx="278">
                  <c:v>9.3525179856114943E-2</c:v>
                </c:pt>
                <c:pt idx="279">
                  <c:v>9.3189964157705932E-2</c:v>
                </c:pt>
                <c:pt idx="280">
                  <c:v>9.2857142857142694E-2</c:v>
                </c:pt>
                <c:pt idx="281">
                  <c:v>9.2526690391458916E-2</c:v>
                </c:pt>
                <c:pt idx="282">
                  <c:v>9.2198581560283516E-2</c:v>
                </c:pt>
                <c:pt idx="283">
                  <c:v>9.1872791519434477E-2</c:v>
                </c:pt>
                <c:pt idx="284">
                  <c:v>9.1549295774647724E-2</c:v>
                </c:pt>
                <c:pt idx="285">
                  <c:v>9.1228070175438436E-2</c:v>
                </c:pt>
                <c:pt idx="286">
                  <c:v>9.0909090909090745E-2</c:v>
                </c:pt>
                <c:pt idx="287">
                  <c:v>9.0592334494773524E-2</c:v>
                </c:pt>
                <c:pt idx="288">
                  <c:v>9.027777777777779E-2</c:v>
                </c:pt>
                <c:pt idx="289">
                  <c:v>8.9965397923875437E-2</c:v>
                </c:pt>
                <c:pt idx="290">
                  <c:v>8.9655172413793116E-2</c:v>
                </c:pt>
                <c:pt idx="291">
                  <c:v>8.9347079037800689E-2</c:v>
                </c:pt>
                <c:pt idx="292">
                  <c:v>8.9041095890410968E-2</c:v>
                </c:pt>
                <c:pt idx="293">
                  <c:v>8.8737201365187715E-2</c:v>
                </c:pt>
                <c:pt idx="294">
                  <c:v>8.8435374149659865E-2</c:v>
                </c:pt>
                <c:pt idx="295">
                  <c:v>8.8135593220338981E-2</c:v>
                </c:pt>
                <c:pt idx="296">
                  <c:v>8.7837837837837843E-2</c:v>
                </c:pt>
                <c:pt idx="297">
                  <c:v>8.7542087542087546E-2</c:v>
                </c:pt>
                <c:pt idx="298">
                  <c:v>8.7248322147651006E-2</c:v>
                </c:pt>
                <c:pt idx="299">
                  <c:v>8.6956521739130432E-2</c:v>
                </c:pt>
                <c:pt idx="300">
                  <c:v>8.666666666666667E-2</c:v>
                </c:pt>
                <c:pt idx="301">
                  <c:v>8.6091764991556408E-2</c:v>
                </c:pt>
                <c:pt idx="302">
                  <c:v>8.552256479978948E-2</c:v>
                </c:pt>
                <c:pt idx="303">
                  <c:v>8.4958990948599822E-2</c:v>
                </c:pt>
                <c:pt idx="304">
                  <c:v>8.4400969529085879E-2</c:v>
                </c:pt>
                <c:pt idx="305">
                  <c:v>8.3848427841977977E-2</c:v>
                </c:pt>
                <c:pt idx="306">
                  <c:v>8.3301294373958737E-2</c:v>
                </c:pt>
                <c:pt idx="307">
                  <c:v>8.2759498774522822E-2</c:v>
                </c:pt>
                <c:pt idx="308">
                  <c:v>8.2222971833361455E-2</c:v>
                </c:pt>
                <c:pt idx="309">
                  <c:v>8.1691645458258716E-2</c:v>
                </c:pt>
                <c:pt idx="310">
                  <c:v>8.1165452653486195E-2</c:v>
                </c:pt>
                <c:pt idx="311">
                  <c:v>8.0644327498682042E-2</c:v>
                </c:pt>
                <c:pt idx="312">
                  <c:v>8.0128205128205371E-2</c:v>
                </c:pt>
                <c:pt idx="313">
                  <c:v>7.9617021710949643E-2</c:v>
                </c:pt>
                <c:pt idx="314">
                  <c:v>7.911071443060598E-2</c:v>
                </c:pt>
                <c:pt idx="315">
                  <c:v>7.8609221466364565E-2</c:v>
                </c:pt>
                <c:pt idx="316">
                  <c:v>7.8112481974042872E-2</c:v>
                </c:pt>
                <c:pt idx="317">
                  <c:v>7.7620436067629542E-2</c:v>
                </c:pt>
                <c:pt idx="318">
                  <c:v>7.7133024801234379E-2</c:v>
                </c:pt>
                <c:pt idx="319">
                  <c:v>7.6650190151433498E-2</c:v>
                </c:pt>
                <c:pt idx="320">
                  <c:v>7.617187500000025E-2</c:v>
                </c:pt>
                <c:pt idx="321">
                  <c:v>7.5698023117011917E-2</c:v>
                </c:pt>
                <c:pt idx="322">
                  <c:v>7.5228579144323376E-2</c:v>
                </c:pt>
                <c:pt idx="323">
                  <c:v>7.4763488579398102E-2</c:v>
                </c:pt>
                <c:pt idx="324">
                  <c:v>7.4302697759488126E-2</c:v>
                </c:pt>
                <c:pt idx="325">
                  <c:v>7.3846153846154075E-2</c:v>
                </c:pt>
                <c:pt idx="326">
                  <c:v>7.3393804810117286E-2</c:v>
                </c:pt>
                <c:pt idx="327">
                  <c:v>7.2945599416435428E-2</c:v>
                </c:pt>
                <c:pt idx="328">
                  <c:v>7.2501487209994275E-2</c:v>
                </c:pt>
                <c:pt idx="329">
                  <c:v>7.2061418501307484E-2</c:v>
                </c:pt>
                <c:pt idx="330">
                  <c:v>7.1625344352617304E-2</c:v>
                </c:pt>
                <c:pt idx="331">
                  <c:v>7.1193216564288606E-2</c:v>
                </c:pt>
                <c:pt idx="332">
                  <c:v>7.0764987661489545E-2</c:v>
                </c:pt>
                <c:pt idx="333">
                  <c:v>7.0340610881151844E-2</c:v>
                </c:pt>
                <c:pt idx="334">
                  <c:v>6.9920040159202973E-2</c:v>
                </c:pt>
                <c:pt idx="335">
                  <c:v>6.9503230118066806E-2</c:v>
                </c:pt>
                <c:pt idx="336">
                  <c:v>6.9090136054422172E-2</c:v>
                </c:pt>
                <c:pt idx="337">
                  <c:v>6.8680713927216461E-2</c:v>
                </c:pt>
                <c:pt idx="338">
                  <c:v>6.8274920345926665E-2</c:v>
                </c:pt>
                <c:pt idx="339">
                  <c:v>6.7872712559062714E-2</c:v>
                </c:pt>
                <c:pt idx="340">
                  <c:v>6.747404844290697E-2</c:v>
                </c:pt>
                <c:pt idx="341">
                  <c:v>6.7078886490484657E-2</c:v>
                </c:pt>
                <c:pt idx="342">
                  <c:v>6.6687185800759594E-2</c:v>
                </c:pt>
                <c:pt idx="343">
                  <c:v>6.6298906068050265E-2</c:v>
                </c:pt>
                <c:pt idx="344">
                  <c:v>6.5914007571660729E-2</c:v>
                </c:pt>
                <c:pt idx="345">
                  <c:v>6.5532451165721872E-2</c:v>
                </c:pt>
                <c:pt idx="346">
                  <c:v>6.5154198269237559E-2</c:v>
                </c:pt>
                <c:pt idx="347">
                  <c:v>6.4779210856331704E-2</c:v>
                </c:pt>
                <c:pt idx="348">
                  <c:v>6.4407451446690814E-2</c:v>
                </c:pt>
                <c:pt idx="349">
                  <c:v>6.4038883096198262E-2</c:v>
                </c:pt>
                <c:pt idx="350">
                  <c:v>6.3673469387755477E-2</c:v>
                </c:pt>
                <c:pt idx="351">
                  <c:v>6.3311174422285885E-2</c:v>
                </c:pt>
                <c:pt idx="352">
                  <c:v>6.2951962809917716E-2</c:v>
                </c:pt>
                <c:pt idx="353">
                  <c:v>6.2595799661341031E-2</c:v>
                </c:pt>
                <c:pt idx="354">
                  <c:v>6.2242650579335798E-2</c:v>
                </c:pt>
                <c:pt idx="355">
                  <c:v>6.1892481650466527E-2</c:v>
                </c:pt>
                <c:pt idx="356">
                  <c:v>6.1545259436940135E-2</c:v>
                </c:pt>
                <c:pt idx="357">
                  <c:v>6.1200950968623248E-2</c:v>
                </c:pt>
                <c:pt idx="358">
                  <c:v>6.0859523735214763E-2</c:v>
                </c:pt>
                <c:pt idx="359">
                  <c:v>6.0520945678572212E-2</c:v>
                </c:pt>
                <c:pt idx="360">
                  <c:v>6.0185185185185688E-2</c:v>
                </c:pt>
                <c:pt idx="361">
                  <c:v>5.9852211078798227E-2</c:v>
                </c:pt>
                <c:pt idx="362">
                  <c:v>5.9521992613168588E-2</c:v>
                </c:pt>
                <c:pt idx="363">
                  <c:v>5.9194499464973294E-2</c:v>
                </c:pt>
                <c:pt idx="364">
                  <c:v>5.8869701726845074E-2</c:v>
                </c:pt>
                <c:pt idx="365">
                  <c:v>5.8547569900544681E-2</c:v>
                </c:pt>
                <c:pt idx="366">
                  <c:v>5.8228074890262958E-2</c:v>
                </c:pt>
                <c:pt idx="367">
                  <c:v>5.7911187996050634E-2</c:v>
                </c:pt>
                <c:pt idx="368">
                  <c:v>5.7596880907372867E-2</c:v>
                </c:pt>
                <c:pt idx="369">
                  <c:v>5.7285125696785899E-2</c:v>
                </c:pt>
                <c:pt idx="370">
                  <c:v>5.6975894813733115E-2</c:v>
                </c:pt>
                <c:pt idx="371">
                  <c:v>5.6669161078458194E-2</c:v>
                </c:pt>
                <c:pt idx="372">
                  <c:v>5.6364897676032359E-2</c:v>
                </c:pt>
                <c:pt idx="373">
                  <c:v>5.6063078150493884E-2</c:v>
                </c:pt>
                <c:pt idx="374">
                  <c:v>5.5763676399096788E-2</c:v>
                </c:pt>
                <c:pt idx="375">
                  <c:v>5.5466666666667115E-2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C-4465-A26E-EFDEBE2D4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10384"/>
        <c:axId val="328800304"/>
      </c:lineChart>
      <c:catAx>
        <c:axId val="328810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800304"/>
        <c:crosses val="autoZero"/>
        <c:auto val="1"/>
        <c:lblAlgn val="ctr"/>
        <c:lblOffset val="100"/>
        <c:noMultiLvlLbl val="0"/>
      </c:catAx>
      <c:valAx>
        <c:axId val="32880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S</a:t>
                </a:r>
                <a:r>
                  <a:rPr lang="en-US" sz="1200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(a)</a:t>
                </a:r>
                <a:endParaRPr lang="en-US" sz="120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810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fa-IR" sz="1400">
                <a:latin typeface="Times New Roman" panose="02020603050405020304" pitchFamily="18" charset="0"/>
                <a:cs typeface="B Nazanin" panose="00000400000000000000" pitchFamily="2" charset="-78"/>
              </a:rPr>
              <a:t>طیف طرح قائم استاندارد</a:t>
            </a:r>
            <a:endParaRPr lang="en-US" sz="1400">
              <a:latin typeface="Times New Roman" panose="02020603050405020304" pitchFamily="18" charset="0"/>
              <a:cs typeface="B Nazanin" panose="00000400000000000000" pitchFamily="2" charset="-78"/>
            </a:endParaRPr>
          </a:p>
          <a:p>
            <a:pPr>
              <a:defRPr/>
            </a:pPr>
            <a:r>
              <a:rPr lang="en-US">
                <a:latin typeface="Times New Roman" panose="02020603050405020304" pitchFamily="18" charset="0"/>
                <a:cs typeface="Times New Roman" panose="02020603050405020304" pitchFamily="18" charset="0"/>
              </a:rPr>
              <a:t>Sav-T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'(2800-V5)-۲ضریب زلزله '!$AZ$3</c:f>
              <c:strCache>
                <c:ptCount val="1"/>
                <c:pt idx="0">
                  <c:v>Sav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'(2800-V5)-۲ضریب زلزله '!$AY$4:$AY$449</c:f>
              <c:numCache>
                <c:formatCode>0.000</c:formatCode>
                <c:ptCount val="44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</c:numCache>
            </c:numRef>
          </c:cat>
          <c:val>
            <c:numRef>
              <c:f>'(2800-V5)-۲ضریب زلزله '!$AZ$4:$AZ$449</c:f>
              <c:numCache>
                <c:formatCode>0.000</c:formatCode>
                <c:ptCount val="446"/>
                <c:pt idx="0">
                  <c:v>0.52533276654533878</c:v>
                </c:pt>
                <c:pt idx="1">
                  <c:v>0.52533276654533878</c:v>
                </c:pt>
                <c:pt idx="2">
                  <c:v>0.52533276654533878</c:v>
                </c:pt>
                <c:pt idx="3">
                  <c:v>0.5899891070432266</c:v>
                </c:pt>
                <c:pt idx="4">
                  <c:v>0.71930178803900235</c:v>
                </c:pt>
                <c:pt idx="5">
                  <c:v>0.84861446903477811</c:v>
                </c:pt>
                <c:pt idx="6">
                  <c:v>0.848614469034778</c:v>
                </c:pt>
                <c:pt idx="7">
                  <c:v>0.848614469034778</c:v>
                </c:pt>
                <c:pt idx="8">
                  <c:v>0.848614469034778</c:v>
                </c:pt>
                <c:pt idx="9">
                  <c:v>0.848614469034778</c:v>
                </c:pt>
                <c:pt idx="10">
                  <c:v>0.848614469034778</c:v>
                </c:pt>
                <c:pt idx="11">
                  <c:v>0.80912214891717293</c:v>
                </c:pt>
                <c:pt idx="12">
                  <c:v>0.77467547885936205</c:v>
                </c:pt>
                <c:pt idx="13">
                  <c:v>0.74428412536692867</c:v>
                </c:pt>
                <c:pt idx="14">
                  <c:v>0.71721012912892357</c:v>
                </c:pt>
                <c:pt idx="15">
                  <c:v>0.69289081249269391</c:v>
                </c:pt>
                <c:pt idx="16">
                  <c:v>0.67088864438108242</c:v>
                </c:pt>
                <c:pt idx="17">
                  <c:v>0.65085758677897565</c:v>
                </c:pt>
                <c:pt idx="18">
                  <c:v>0.63251987981721802</c:v>
                </c:pt>
                <c:pt idx="19">
                  <c:v>0.61564964278444934</c:v>
                </c:pt>
                <c:pt idx="20">
                  <c:v>0.60006104566751306</c:v>
                </c:pt>
                <c:pt idx="21">
                  <c:v>0.58341182390087076</c:v>
                </c:pt>
                <c:pt idx="22">
                  <c:v>0.56787668318368689</c:v>
                </c:pt>
                <c:pt idx="23">
                  <c:v>0.55333479389138818</c:v>
                </c:pt>
                <c:pt idx="24">
                  <c:v>0.53968303873930135</c:v>
                </c:pt>
                <c:pt idx="25">
                  <c:v>0.52683280049557379</c:v>
                </c:pt>
                <c:pt idx="26">
                  <c:v>0.51470743489139736</c:v>
                </c:pt>
                <c:pt idx="27">
                  <c:v>0.50324026235281327</c:v>
                </c:pt>
                <c:pt idx="28">
                  <c:v>0.49237295712887497</c:v>
                </c:pt>
                <c:pt idx="29">
                  <c:v>0.48205424405316166</c:v>
                </c:pt>
                <c:pt idx="30">
                  <c:v>0.47223883579319559</c:v>
                </c:pt>
                <c:pt idx="31">
                  <c:v>0.46288655980945165</c:v>
                </c:pt>
                <c:pt idx="32">
                  <c:v>0.45396163623245317</c:v>
                </c:pt>
                <c:pt idx="33">
                  <c:v>0.44543207674337859</c:v>
                </c:pt>
                <c:pt idx="34">
                  <c:v>0.43726918118586749</c:v>
                </c:pt>
                <c:pt idx="35">
                  <c:v>0.42944711365507676</c:v>
                </c:pt>
                <c:pt idx="36">
                  <c:v>0.42194254363590084</c:v>
                </c:pt>
                <c:pt idx="37">
                  <c:v>0.41473434070378912</c:v>
                </c:pt>
                <c:pt idx="38">
                  <c:v>0.40780331358122696</c:v>
                </c:pt>
                <c:pt idx="39">
                  <c:v>0.40113198612290446</c:v>
                </c:pt>
                <c:pt idx="40">
                  <c:v>0.39470440420222236</c:v>
                </c:pt>
                <c:pt idx="41">
                  <c:v>0.38850596857971131</c:v>
                </c:pt>
                <c:pt idx="42">
                  <c:v>0.38252328971649913</c:v>
                </c:pt>
                <c:pt idx="43">
                  <c:v>0.37674406120320109</c:v>
                </c:pt>
                <c:pt idx="44">
                  <c:v>0.37115694904457475</c:v>
                </c:pt>
                <c:pt idx="45">
                  <c:v>0.36575149450210315</c:v>
                </c:pt>
                <c:pt idx="46">
                  <c:v>0.36051802857277054</c:v>
                </c:pt>
                <c:pt idx="47">
                  <c:v>0.35544759649009972</c:v>
                </c:pt>
                <c:pt idx="48">
                  <c:v>0.35053189088658915</c:v>
                </c:pt>
                <c:pt idx="49">
                  <c:v>0.34576319246568915</c:v>
                </c:pt>
                <c:pt idx="50">
                  <c:v>0.3411343172047917</c:v>
                </c:pt>
                <c:pt idx="51">
                  <c:v>0.33663856925505203</c:v>
                </c:pt>
                <c:pt idx="52">
                  <c:v>0.33226969882452168</c:v>
                </c:pt>
                <c:pt idx="53">
                  <c:v>0.32802186443232734</c:v>
                </c:pt>
                <c:pt idx="54">
                  <c:v>0.32388959900688297</c:v>
                </c:pt>
                <c:pt idx="55">
                  <c:v>0.3198677793731724</c:v>
                </c:pt>
                <c:pt idx="56">
                  <c:v>0.31595159873520862</c:v>
                </c:pt>
                <c:pt idx="57">
                  <c:v>0.3121365418117224</c:v>
                </c:pt>
                <c:pt idx="58">
                  <c:v>0.30841836232743935</c:v>
                </c:pt>
                <c:pt idx="59">
                  <c:v>0.30479306260021577</c:v>
                </c:pt>
                <c:pt idx="60">
                  <c:v>0.30125687499682341</c:v>
                </c:pt>
                <c:pt idx="61">
                  <c:v>0.29935985636714096</c:v>
                </c:pt>
                <c:pt idx="62">
                  <c:v>0.29839000802037918</c:v>
                </c:pt>
                <c:pt idx="63">
                  <c:v>0.29742642349501736</c:v>
                </c:pt>
                <c:pt idx="64">
                  <c:v>0.29646904230350979</c:v>
                </c:pt>
                <c:pt idx="65">
                  <c:v>0.29551780473462153</c:v>
                </c:pt>
                <c:pt idx="66">
                  <c:v>0.29457265184101394</c:v>
                </c:pt>
                <c:pt idx="67">
                  <c:v>0.29363352542706811</c:v>
                </c:pt>
                <c:pt idx="68">
                  <c:v>0.29270036803693977</c:v>
                </c:pt>
                <c:pt idx="69">
                  <c:v>0.29177312294284174</c:v>
                </c:pt>
                <c:pt idx="70">
                  <c:v>0.29085173413354853</c:v>
                </c:pt>
                <c:pt idx="71">
                  <c:v>0.28993614630311765</c:v>
                </c:pt>
                <c:pt idx="72">
                  <c:v>0.28902630483982333</c:v>
                </c:pt>
                <c:pt idx="73">
                  <c:v>0.28812215581529838</c:v>
                </c:pt>
                <c:pt idx="74">
                  <c:v>0.28722364597387845</c:v>
                </c:pt>
                <c:pt idx="75">
                  <c:v>0.28633072272214621</c:v>
                </c:pt>
                <c:pt idx="76">
                  <c:v>0.28544333411866851</c:v>
                </c:pt>
                <c:pt idx="77">
                  <c:v>0.28456142886392494</c:v>
                </c:pt>
                <c:pt idx="78">
                  <c:v>0.28368495629042206</c:v>
                </c:pt>
                <c:pt idx="79">
                  <c:v>0.28281386635298988</c:v>
                </c:pt>
                <c:pt idx="80">
                  <c:v>0.2819481096192562</c:v>
                </c:pt>
                <c:pt idx="81">
                  <c:v>0.28108763726029617</c:v>
                </c:pt>
                <c:pt idx="82">
                  <c:v>0.28023240104145147</c:v>
                </c:pt>
                <c:pt idx="83">
                  <c:v>0.27938235331331757</c:v>
                </c:pt>
                <c:pt idx="84">
                  <c:v>0.27853744700289429</c:v>
                </c:pt>
                <c:pt idx="85">
                  <c:v>0.27769763560489563</c:v>
                </c:pt>
                <c:pt idx="86">
                  <c:v>0.27686287317321756</c:v>
                </c:pt>
                <c:pt idx="87">
                  <c:v>0.27603311431255856</c:v>
                </c:pt>
                <c:pt idx="88">
                  <c:v>0.27520831417019037</c:v>
                </c:pt>
                <c:pt idx="89">
                  <c:v>0.27438842842787597</c:v>
                </c:pt>
                <c:pt idx="90">
                  <c:v>0.27357341329393181</c:v>
                </c:pt>
                <c:pt idx="91">
                  <c:v>0.27276322549543053</c:v>
                </c:pt>
                <c:pt idx="92">
                  <c:v>0.27195782227054244</c:v>
                </c:pt>
                <c:pt idx="93">
                  <c:v>0.27115716136101192</c:v>
                </c:pt>
                <c:pt idx="94">
                  <c:v>0.27036120100476629</c:v>
                </c:pt>
                <c:pt idx="95">
                  <c:v>0.26956989992865477</c:v>
                </c:pt>
                <c:pt idx="96">
                  <c:v>0.26878321734131427</c:v>
                </c:pt>
                <c:pt idx="97">
                  <c:v>0.26800111292616013</c:v>
                </c:pt>
                <c:pt idx="98">
                  <c:v>0.26722354683449817</c:v>
                </c:pt>
                <c:pt idx="99">
                  <c:v>0.26645047967875707</c:v>
                </c:pt>
                <c:pt idx="100">
                  <c:v>0.26568187252583758</c:v>
                </c:pt>
                <c:pt idx="101">
                  <c:v>0.26568187252583758</c:v>
                </c:pt>
                <c:pt idx="102">
                  <c:v>0.26568187252583758</c:v>
                </c:pt>
                <c:pt idx="103">
                  <c:v>0.26568187252583758</c:v>
                </c:pt>
                <c:pt idx="104">
                  <c:v>0.26568187252583758</c:v>
                </c:pt>
                <c:pt idx="105">
                  <c:v>0.26568187252583758</c:v>
                </c:pt>
                <c:pt idx="106">
                  <c:v>0.26568187252583758</c:v>
                </c:pt>
                <c:pt idx="107">
                  <c:v>0.26568187252583758</c:v>
                </c:pt>
                <c:pt idx="108">
                  <c:v>0.26568187252583758</c:v>
                </c:pt>
                <c:pt idx="109">
                  <c:v>0.26568187252583758</c:v>
                </c:pt>
                <c:pt idx="110">
                  <c:v>0.26568187252583758</c:v>
                </c:pt>
                <c:pt idx="111">
                  <c:v>0.26568187252583758</c:v>
                </c:pt>
                <c:pt idx="112">
                  <c:v>0.26568187252583758</c:v>
                </c:pt>
                <c:pt idx="113">
                  <c:v>0.26568187252583758</c:v>
                </c:pt>
                <c:pt idx="114">
                  <c:v>0.26568187252583758</c:v>
                </c:pt>
                <c:pt idx="115">
                  <c:v>0.26568187252583758</c:v>
                </c:pt>
                <c:pt idx="116">
                  <c:v>0.26568187252583758</c:v>
                </c:pt>
                <c:pt idx="117">
                  <c:v>0.26568187252583758</c:v>
                </c:pt>
                <c:pt idx="118">
                  <c:v>0.26568187252583758</c:v>
                </c:pt>
                <c:pt idx="119">
                  <c:v>0.26568187252583758</c:v>
                </c:pt>
                <c:pt idx="120">
                  <c:v>0.26568187252583758</c:v>
                </c:pt>
                <c:pt idx="121">
                  <c:v>0.26568187252583758</c:v>
                </c:pt>
                <c:pt idx="122">
                  <c:v>0.26568187252583758</c:v>
                </c:pt>
                <c:pt idx="123">
                  <c:v>0.26568187252583758</c:v>
                </c:pt>
                <c:pt idx="124">
                  <c:v>0.26568187252583758</c:v>
                </c:pt>
                <c:pt idx="125">
                  <c:v>0.26568187252583758</c:v>
                </c:pt>
                <c:pt idx="126">
                  <c:v>0.26568187252583758</c:v>
                </c:pt>
                <c:pt idx="127">
                  <c:v>0.26568187252583758</c:v>
                </c:pt>
                <c:pt idx="128">
                  <c:v>0.26568187252583758</c:v>
                </c:pt>
                <c:pt idx="129">
                  <c:v>0.26568187252583758</c:v>
                </c:pt>
                <c:pt idx="130">
                  <c:v>0.26568187252583758</c:v>
                </c:pt>
                <c:pt idx="131">
                  <c:v>0.26568187252583758</c:v>
                </c:pt>
                <c:pt idx="132">
                  <c:v>0.26568187252583758</c:v>
                </c:pt>
                <c:pt idx="133">
                  <c:v>0.26568187252583758</c:v>
                </c:pt>
                <c:pt idx="134">
                  <c:v>0.26568187252583758</c:v>
                </c:pt>
                <c:pt idx="135">
                  <c:v>0.26568187252583758</c:v>
                </c:pt>
                <c:pt idx="136">
                  <c:v>0.26568187252583758</c:v>
                </c:pt>
                <c:pt idx="137">
                  <c:v>0.26568187252583758</c:v>
                </c:pt>
                <c:pt idx="138">
                  <c:v>0.26568187252583758</c:v>
                </c:pt>
                <c:pt idx="139">
                  <c:v>0.26568187252583758</c:v>
                </c:pt>
                <c:pt idx="140">
                  <c:v>0.26568187252583758</c:v>
                </c:pt>
                <c:pt idx="141">
                  <c:v>0.26568187252583758</c:v>
                </c:pt>
                <c:pt idx="142">
                  <c:v>0.26568187252583758</c:v>
                </c:pt>
                <c:pt idx="143">
                  <c:v>0.26568187252583758</c:v>
                </c:pt>
                <c:pt idx="144">
                  <c:v>0.26568187252583758</c:v>
                </c:pt>
                <c:pt idx="145">
                  <c:v>0.26568187252583758</c:v>
                </c:pt>
                <c:pt idx="146">
                  <c:v>0.26568187252583758</c:v>
                </c:pt>
                <c:pt idx="147">
                  <c:v>0.26568187252583758</c:v>
                </c:pt>
                <c:pt idx="148">
                  <c:v>0.26568187252583758</c:v>
                </c:pt>
                <c:pt idx="149">
                  <c:v>0.26568187252583758</c:v>
                </c:pt>
                <c:pt idx="150">
                  <c:v>0.26568187252583758</c:v>
                </c:pt>
                <c:pt idx="151">
                  <c:v>0.26568187252583758</c:v>
                </c:pt>
                <c:pt idx="152">
                  <c:v>0.26568187252583758</c:v>
                </c:pt>
                <c:pt idx="153">
                  <c:v>0.26568187252583758</c:v>
                </c:pt>
                <c:pt idx="154">
                  <c:v>0.26568187252583758</c:v>
                </c:pt>
                <c:pt idx="155">
                  <c:v>0.26568187252583758</c:v>
                </c:pt>
                <c:pt idx="156">
                  <c:v>0.26568187252583758</c:v>
                </c:pt>
                <c:pt idx="157">
                  <c:v>0.26568187252583758</c:v>
                </c:pt>
                <c:pt idx="158">
                  <c:v>0.26568187252583758</c:v>
                </c:pt>
                <c:pt idx="159">
                  <c:v>0.26568187252583758</c:v>
                </c:pt>
                <c:pt idx="160">
                  <c:v>0.26568187252583758</c:v>
                </c:pt>
                <c:pt idx="161">
                  <c:v>0.26568187252583758</c:v>
                </c:pt>
                <c:pt idx="162">
                  <c:v>0.26568187252583758</c:v>
                </c:pt>
                <c:pt idx="163">
                  <c:v>0.26568187252583758</c:v>
                </c:pt>
                <c:pt idx="164">
                  <c:v>0.26568187252583758</c:v>
                </c:pt>
                <c:pt idx="165">
                  <c:v>0.26568187252583758</c:v>
                </c:pt>
                <c:pt idx="166">
                  <c:v>0.26568187252583758</c:v>
                </c:pt>
                <c:pt idx="167">
                  <c:v>0.26568187252583758</c:v>
                </c:pt>
                <c:pt idx="168">
                  <c:v>0.26568187252583758</c:v>
                </c:pt>
                <c:pt idx="169">
                  <c:v>0.26568187252583758</c:v>
                </c:pt>
                <c:pt idx="170">
                  <c:v>0.26568187252583758</c:v>
                </c:pt>
                <c:pt idx="171">
                  <c:v>0.26568187252583758</c:v>
                </c:pt>
                <c:pt idx="172">
                  <c:v>0.26568187252583758</c:v>
                </c:pt>
                <c:pt idx="173">
                  <c:v>0.26568187252583758</c:v>
                </c:pt>
                <c:pt idx="174">
                  <c:v>0.26568187252583758</c:v>
                </c:pt>
                <c:pt idx="175">
                  <c:v>0.26568187252583758</c:v>
                </c:pt>
                <c:pt idx="176">
                  <c:v>0.26568187252583758</c:v>
                </c:pt>
                <c:pt idx="177">
                  <c:v>0.26568187252583758</c:v>
                </c:pt>
                <c:pt idx="178">
                  <c:v>0.26568187252583758</c:v>
                </c:pt>
                <c:pt idx="179">
                  <c:v>0.26568187252583758</c:v>
                </c:pt>
                <c:pt idx="180">
                  <c:v>0.26568187252583758</c:v>
                </c:pt>
                <c:pt idx="181">
                  <c:v>0.26568187252583758</c:v>
                </c:pt>
                <c:pt idx="182">
                  <c:v>0.26568187252583758</c:v>
                </c:pt>
                <c:pt idx="183">
                  <c:v>0.26568187252583758</c:v>
                </c:pt>
                <c:pt idx="184">
                  <c:v>0.26568187252583758</c:v>
                </c:pt>
                <c:pt idx="185">
                  <c:v>0.26568187252583758</c:v>
                </c:pt>
                <c:pt idx="186">
                  <c:v>0.26568187252583758</c:v>
                </c:pt>
                <c:pt idx="187">
                  <c:v>0.26568187252583758</c:v>
                </c:pt>
                <c:pt idx="188">
                  <c:v>0.26568187252583758</c:v>
                </c:pt>
                <c:pt idx="189">
                  <c:v>0.26568187252583758</c:v>
                </c:pt>
                <c:pt idx="190">
                  <c:v>0.26568187252583758</c:v>
                </c:pt>
                <c:pt idx="191">
                  <c:v>0.26568187252583758</c:v>
                </c:pt>
                <c:pt idx="192">
                  <c:v>0.26568187252583758</c:v>
                </c:pt>
                <c:pt idx="193">
                  <c:v>0.26568187252583758</c:v>
                </c:pt>
                <c:pt idx="194">
                  <c:v>0.26568187252583758</c:v>
                </c:pt>
                <c:pt idx="195">
                  <c:v>0.26568187252583758</c:v>
                </c:pt>
                <c:pt idx="196">
                  <c:v>0.26568187252583758</c:v>
                </c:pt>
                <c:pt idx="197">
                  <c:v>0.26568187252583758</c:v>
                </c:pt>
                <c:pt idx="198">
                  <c:v>0.26568187252583758</c:v>
                </c:pt>
                <c:pt idx="199">
                  <c:v>0.26568187252583758</c:v>
                </c:pt>
                <c:pt idx="200">
                  <c:v>0.26568187252583758</c:v>
                </c:pt>
                <c:pt idx="201">
                  <c:v>0.26568187252583758</c:v>
                </c:pt>
                <c:pt idx="202">
                  <c:v>0.26568187252583758</c:v>
                </c:pt>
                <c:pt idx="203">
                  <c:v>0.26568187252583758</c:v>
                </c:pt>
                <c:pt idx="204">
                  <c:v>0.26568187252583758</c:v>
                </c:pt>
                <c:pt idx="205">
                  <c:v>0.26568187252583758</c:v>
                </c:pt>
                <c:pt idx="206">
                  <c:v>0.26568187252583758</c:v>
                </c:pt>
                <c:pt idx="207">
                  <c:v>0.26568187252583758</c:v>
                </c:pt>
                <c:pt idx="208">
                  <c:v>0.26568187252583758</c:v>
                </c:pt>
                <c:pt idx="209">
                  <c:v>0.26568187252583758</c:v>
                </c:pt>
                <c:pt idx="210">
                  <c:v>0.26568187252583758</c:v>
                </c:pt>
                <c:pt idx="211">
                  <c:v>0.26568187252583758</c:v>
                </c:pt>
                <c:pt idx="212">
                  <c:v>0.26568187252583758</c:v>
                </c:pt>
                <c:pt idx="213">
                  <c:v>0.26568187252583758</c:v>
                </c:pt>
                <c:pt idx="214">
                  <c:v>0.26568187252583758</c:v>
                </c:pt>
                <c:pt idx="215">
                  <c:v>0.26568187252583758</c:v>
                </c:pt>
                <c:pt idx="216">
                  <c:v>0.26568187252583758</c:v>
                </c:pt>
                <c:pt idx="217">
                  <c:v>0.26568187252583758</c:v>
                </c:pt>
                <c:pt idx="218">
                  <c:v>0.26568187252583758</c:v>
                </c:pt>
                <c:pt idx="219">
                  <c:v>0.26568187252583758</c:v>
                </c:pt>
                <c:pt idx="220">
                  <c:v>0.26568187252583758</c:v>
                </c:pt>
                <c:pt idx="221">
                  <c:v>0.26568187252583758</c:v>
                </c:pt>
                <c:pt idx="222">
                  <c:v>0.26568187252583758</c:v>
                </c:pt>
                <c:pt idx="223">
                  <c:v>0.26568187252583758</c:v>
                </c:pt>
                <c:pt idx="224">
                  <c:v>0.26568187252583758</c:v>
                </c:pt>
                <c:pt idx="225">
                  <c:v>0.26568187252583758</c:v>
                </c:pt>
                <c:pt idx="226">
                  <c:v>0.26568187252583758</c:v>
                </c:pt>
                <c:pt idx="227">
                  <c:v>0.26568187252583758</c:v>
                </c:pt>
                <c:pt idx="228">
                  <c:v>0.26568187252583758</c:v>
                </c:pt>
                <c:pt idx="229">
                  <c:v>0.26568187252583758</c:v>
                </c:pt>
                <c:pt idx="230">
                  <c:v>0.26568187252583758</c:v>
                </c:pt>
                <c:pt idx="231">
                  <c:v>0.26568187252583758</c:v>
                </c:pt>
                <c:pt idx="232">
                  <c:v>0.26568187252583758</c:v>
                </c:pt>
                <c:pt idx="233">
                  <c:v>0.26568187252583758</c:v>
                </c:pt>
                <c:pt idx="234">
                  <c:v>0.26568187252583758</c:v>
                </c:pt>
                <c:pt idx="235">
                  <c:v>0.26568187252583758</c:v>
                </c:pt>
                <c:pt idx="236">
                  <c:v>0.26568187252583758</c:v>
                </c:pt>
                <c:pt idx="237">
                  <c:v>0.26568187252583758</c:v>
                </c:pt>
                <c:pt idx="238">
                  <c:v>0.26568187252583758</c:v>
                </c:pt>
                <c:pt idx="239">
                  <c:v>0.26568187252583758</c:v>
                </c:pt>
                <c:pt idx="240">
                  <c:v>0.26568187252583758</c:v>
                </c:pt>
                <c:pt idx="241">
                  <c:v>0.26568187252583758</c:v>
                </c:pt>
                <c:pt idx="242">
                  <c:v>0.26568187252583758</c:v>
                </c:pt>
                <c:pt idx="243">
                  <c:v>0.26568187252583758</c:v>
                </c:pt>
                <c:pt idx="244">
                  <c:v>0.26568187252583758</c:v>
                </c:pt>
                <c:pt idx="245">
                  <c:v>0.26568187252583758</c:v>
                </c:pt>
                <c:pt idx="246">
                  <c:v>0.26568187252583758</c:v>
                </c:pt>
                <c:pt idx="247">
                  <c:v>0.26568187252583758</c:v>
                </c:pt>
                <c:pt idx="248">
                  <c:v>0.26568187252583758</c:v>
                </c:pt>
                <c:pt idx="249">
                  <c:v>0.26568187252583758</c:v>
                </c:pt>
                <c:pt idx="250">
                  <c:v>0.26568187252583758</c:v>
                </c:pt>
                <c:pt idx="251">
                  <c:v>0.26568187252583758</c:v>
                </c:pt>
                <c:pt idx="252">
                  <c:v>0.26568187252583758</c:v>
                </c:pt>
                <c:pt idx="253">
                  <c:v>0.26568187252583758</c:v>
                </c:pt>
                <c:pt idx="254">
                  <c:v>0.26568187252583758</c:v>
                </c:pt>
                <c:pt idx="255">
                  <c:v>0.26568187252583758</c:v>
                </c:pt>
                <c:pt idx="256">
                  <c:v>0.26568187252583758</c:v>
                </c:pt>
                <c:pt idx="257">
                  <c:v>0.26568187252583758</c:v>
                </c:pt>
                <c:pt idx="258">
                  <c:v>0.26568187252583758</c:v>
                </c:pt>
                <c:pt idx="259">
                  <c:v>0.26568187252583758</c:v>
                </c:pt>
                <c:pt idx="260">
                  <c:v>0.26568187252583758</c:v>
                </c:pt>
                <c:pt idx="261">
                  <c:v>0.26568187252583758</c:v>
                </c:pt>
                <c:pt idx="262">
                  <c:v>0.26568187252583758</c:v>
                </c:pt>
                <c:pt idx="263">
                  <c:v>0.26568187252583758</c:v>
                </c:pt>
                <c:pt idx="264">
                  <c:v>0.26568187252583758</c:v>
                </c:pt>
                <c:pt idx="265">
                  <c:v>0.26568187252583758</c:v>
                </c:pt>
                <c:pt idx="266">
                  <c:v>0.26568187252583758</c:v>
                </c:pt>
                <c:pt idx="267">
                  <c:v>0.26568187252583758</c:v>
                </c:pt>
                <c:pt idx="268">
                  <c:v>0.26568187252583758</c:v>
                </c:pt>
                <c:pt idx="269">
                  <c:v>0.26568187252583758</c:v>
                </c:pt>
                <c:pt idx="270">
                  <c:v>0.26568187252583758</c:v>
                </c:pt>
                <c:pt idx="271">
                  <c:v>0.26568187252583758</c:v>
                </c:pt>
                <c:pt idx="272">
                  <c:v>0.26568187252583758</c:v>
                </c:pt>
                <c:pt idx="273">
                  <c:v>0.26568187252583758</c:v>
                </c:pt>
                <c:pt idx="274">
                  <c:v>0.26568187252583758</c:v>
                </c:pt>
                <c:pt idx="275">
                  <c:v>0.26568187252583758</c:v>
                </c:pt>
                <c:pt idx="276">
                  <c:v>0.26568187252583758</c:v>
                </c:pt>
                <c:pt idx="277">
                  <c:v>0.26568187252583758</c:v>
                </c:pt>
                <c:pt idx="278">
                  <c:v>0.26568187252583758</c:v>
                </c:pt>
                <c:pt idx="279">
                  <c:v>0.26568187252583758</c:v>
                </c:pt>
                <c:pt idx="280">
                  <c:v>0.26568187252583758</c:v>
                </c:pt>
                <c:pt idx="281">
                  <c:v>0.26568187252583758</c:v>
                </c:pt>
                <c:pt idx="282">
                  <c:v>0.26568187252583758</c:v>
                </c:pt>
                <c:pt idx="283">
                  <c:v>0.26568187252583758</c:v>
                </c:pt>
                <c:pt idx="284">
                  <c:v>0.26568187252583758</c:v>
                </c:pt>
                <c:pt idx="285">
                  <c:v>0.26568187252583758</c:v>
                </c:pt>
                <c:pt idx="286">
                  <c:v>0.26568187252583758</c:v>
                </c:pt>
                <c:pt idx="287">
                  <c:v>0.26568187252583758</c:v>
                </c:pt>
                <c:pt idx="288">
                  <c:v>0.26568187252583758</c:v>
                </c:pt>
                <c:pt idx="289">
                  <c:v>0.26568187252583758</c:v>
                </c:pt>
                <c:pt idx="290">
                  <c:v>0.26568187252583758</c:v>
                </c:pt>
                <c:pt idx="291">
                  <c:v>0.26568187252583758</c:v>
                </c:pt>
                <c:pt idx="292">
                  <c:v>0.26568187252583758</c:v>
                </c:pt>
                <c:pt idx="293">
                  <c:v>0.26568187252583758</c:v>
                </c:pt>
                <c:pt idx="294">
                  <c:v>0.26568187252583758</c:v>
                </c:pt>
                <c:pt idx="295">
                  <c:v>0.26568187252583758</c:v>
                </c:pt>
                <c:pt idx="296">
                  <c:v>0.26568187252583758</c:v>
                </c:pt>
                <c:pt idx="297">
                  <c:v>0.26568187252583758</c:v>
                </c:pt>
                <c:pt idx="298">
                  <c:v>0.26568187252583758</c:v>
                </c:pt>
                <c:pt idx="299">
                  <c:v>0.26568187252583758</c:v>
                </c:pt>
                <c:pt idx="300">
                  <c:v>0.26568187252583758</c:v>
                </c:pt>
                <c:pt idx="301">
                  <c:v>0.26568187252583758</c:v>
                </c:pt>
                <c:pt idx="302">
                  <c:v>0.26568187252583758</c:v>
                </c:pt>
                <c:pt idx="303">
                  <c:v>0.26568187252583758</c:v>
                </c:pt>
                <c:pt idx="304">
                  <c:v>0.26568187252583758</c:v>
                </c:pt>
                <c:pt idx="305">
                  <c:v>0.26568187252583758</c:v>
                </c:pt>
                <c:pt idx="306">
                  <c:v>0.26568187252583758</c:v>
                </c:pt>
                <c:pt idx="307">
                  <c:v>0.26568187252583758</c:v>
                </c:pt>
                <c:pt idx="308">
                  <c:v>0.26568187252583758</c:v>
                </c:pt>
                <c:pt idx="309">
                  <c:v>0.26568187252583758</c:v>
                </c:pt>
                <c:pt idx="310">
                  <c:v>0.26568187252583758</c:v>
                </c:pt>
                <c:pt idx="311">
                  <c:v>0.26568187252583758</c:v>
                </c:pt>
                <c:pt idx="312">
                  <c:v>0.26568187252583758</c:v>
                </c:pt>
                <c:pt idx="313">
                  <c:v>0.26568187252583758</c:v>
                </c:pt>
                <c:pt idx="314">
                  <c:v>0.26568187252583758</c:v>
                </c:pt>
                <c:pt idx="315">
                  <c:v>0.26568187252583758</c:v>
                </c:pt>
                <c:pt idx="316">
                  <c:v>0.26568187252583758</c:v>
                </c:pt>
                <c:pt idx="317">
                  <c:v>0.26568187252583758</c:v>
                </c:pt>
                <c:pt idx="318">
                  <c:v>0.26568187252583758</c:v>
                </c:pt>
                <c:pt idx="319">
                  <c:v>0.26568187252583758</c:v>
                </c:pt>
                <c:pt idx="320">
                  <c:v>0.26568187252583758</c:v>
                </c:pt>
                <c:pt idx="321">
                  <c:v>0.26568187252583758</c:v>
                </c:pt>
                <c:pt idx="322">
                  <c:v>0.26568187252583758</c:v>
                </c:pt>
                <c:pt idx="323">
                  <c:v>0.26568187252583758</c:v>
                </c:pt>
                <c:pt idx="324">
                  <c:v>0.26568187252583758</c:v>
                </c:pt>
                <c:pt idx="325">
                  <c:v>0.26568187252583758</c:v>
                </c:pt>
                <c:pt idx="326">
                  <c:v>0.26568187252583758</c:v>
                </c:pt>
                <c:pt idx="327">
                  <c:v>0.26568187252583758</c:v>
                </c:pt>
                <c:pt idx="328">
                  <c:v>0.26568187252583758</c:v>
                </c:pt>
                <c:pt idx="329">
                  <c:v>0.26568187252583758</c:v>
                </c:pt>
                <c:pt idx="330">
                  <c:v>0.26568187252583758</c:v>
                </c:pt>
                <c:pt idx="331">
                  <c:v>0.26568187252583758</c:v>
                </c:pt>
                <c:pt idx="332">
                  <c:v>0.26568187252583758</c:v>
                </c:pt>
                <c:pt idx="333">
                  <c:v>0.26568187252583758</c:v>
                </c:pt>
                <c:pt idx="334">
                  <c:v>0.26568187252583758</c:v>
                </c:pt>
                <c:pt idx="335">
                  <c:v>0.26568187252583758</c:v>
                </c:pt>
                <c:pt idx="336">
                  <c:v>0.26568187252583758</c:v>
                </c:pt>
                <c:pt idx="337">
                  <c:v>0.26568187252583758</c:v>
                </c:pt>
                <c:pt idx="338">
                  <c:v>0.26568187252583758</c:v>
                </c:pt>
                <c:pt idx="339">
                  <c:v>0.26568187252583758</c:v>
                </c:pt>
                <c:pt idx="340">
                  <c:v>0.26568187252583758</c:v>
                </c:pt>
                <c:pt idx="341">
                  <c:v>0.26568187252583758</c:v>
                </c:pt>
                <c:pt idx="342">
                  <c:v>0.26568187252583758</c:v>
                </c:pt>
                <c:pt idx="343">
                  <c:v>0.26568187252583758</c:v>
                </c:pt>
                <c:pt idx="344">
                  <c:v>0.26568187252583758</c:v>
                </c:pt>
                <c:pt idx="345">
                  <c:v>0.26568187252583758</c:v>
                </c:pt>
                <c:pt idx="346">
                  <c:v>0.26568187252583758</c:v>
                </c:pt>
                <c:pt idx="347">
                  <c:v>0.26568187252583758</c:v>
                </c:pt>
                <c:pt idx="348">
                  <c:v>0.26568187252583758</c:v>
                </c:pt>
                <c:pt idx="349">
                  <c:v>0.26568187252583758</c:v>
                </c:pt>
                <c:pt idx="350">
                  <c:v>0.26568187252583758</c:v>
                </c:pt>
                <c:pt idx="351">
                  <c:v>0.26568187252583758</c:v>
                </c:pt>
                <c:pt idx="352">
                  <c:v>0.26568187252583758</c:v>
                </c:pt>
                <c:pt idx="353">
                  <c:v>0.26568187252583758</c:v>
                </c:pt>
                <c:pt idx="354">
                  <c:v>0.26568187252583758</c:v>
                </c:pt>
                <c:pt idx="355">
                  <c:v>0.26568187252583758</c:v>
                </c:pt>
                <c:pt idx="356">
                  <c:v>0.26568187252583758</c:v>
                </c:pt>
                <c:pt idx="357">
                  <c:v>0.26568187252583758</c:v>
                </c:pt>
                <c:pt idx="358">
                  <c:v>0.26568187252583758</c:v>
                </c:pt>
                <c:pt idx="359">
                  <c:v>0.26568187252583758</c:v>
                </c:pt>
                <c:pt idx="360">
                  <c:v>0.26568187252583758</c:v>
                </c:pt>
                <c:pt idx="361">
                  <c:v>0.26568187252583758</c:v>
                </c:pt>
                <c:pt idx="362">
                  <c:v>0.26568187252583758</c:v>
                </c:pt>
                <c:pt idx="363">
                  <c:v>0.26568187252583758</c:v>
                </c:pt>
                <c:pt idx="364">
                  <c:v>0.26568187252583758</c:v>
                </c:pt>
                <c:pt idx="365">
                  <c:v>0.26568187252583758</c:v>
                </c:pt>
                <c:pt idx="366">
                  <c:v>0.26568187252583758</c:v>
                </c:pt>
                <c:pt idx="367">
                  <c:v>0.26568187252583758</c:v>
                </c:pt>
                <c:pt idx="368">
                  <c:v>0.26568187252583758</c:v>
                </c:pt>
                <c:pt idx="369">
                  <c:v>0.26568187252583758</c:v>
                </c:pt>
                <c:pt idx="370">
                  <c:v>0.26568187252583758</c:v>
                </c:pt>
                <c:pt idx="371">
                  <c:v>0.26568187252583758</c:v>
                </c:pt>
                <c:pt idx="372">
                  <c:v>0.26568187252583758</c:v>
                </c:pt>
                <c:pt idx="373">
                  <c:v>0.26568187252583758</c:v>
                </c:pt>
                <c:pt idx="374">
                  <c:v>0.26568187252583758</c:v>
                </c:pt>
                <c:pt idx="375">
                  <c:v>0.26568187252583758</c:v>
                </c:pt>
                <c:pt idx="376">
                  <c:v>0.26568187252583758</c:v>
                </c:pt>
                <c:pt idx="377">
                  <c:v>0.26568187252583758</c:v>
                </c:pt>
                <c:pt idx="378">
                  <c:v>0.26568187252583758</c:v>
                </c:pt>
                <c:pt idx="379">
                  <c:v>0.26568187252583758</c:v>
                </c:pt>
                <c:pt idx="380">
                  <c:v>0.26568187252583758</c:v>
                </c:pt>
                <c:pt idx="381">
                  <c:v>0.26568187252583758</c:v>
                </c:pt>
                <c:pt idx="382">
                  <c:v>0.26568187252583758</c:v>
                </c:pt>
                <c:pt idx="383">
                  <c:v>0.26568187252583758</c:v>
                </c:pt>
                <c:pt idx="384">
                  <c:v>0.26568187252583758</c:v>
                </c:pt>
                <c:pt idx="385">
                  <c:v>0.26568187252583758</c:v>
                </c:pt>
                <c:pt idx="386">
                  <c:v>0.26568187252583758</c:v>
                </c:pt>
                <c:pt idx="387">
                  <c:v>0.26568187252583758</c:v>
                </c:pt>
                <c:pt idx="388">
                  <c:v>0.26568187252583758</c:v>
                </c:pt>
                <c:pt idx="389">
                  <c:v>0.26568187252583758</c:v>
                </c:pt>
                <c:pt idx="390">
                  <c:v>0.26568187252583758</c:v>
                </c:pt>
                <c:pt idx="391">
                  <c:v>0.26568187252583758</c:v>
                </c:pt>
                <c:pt idx="392">
                  <c:v>0.26568187252583758</c:v>
                </c:pt>
                <c:pt idx="393">
                  <c:v>0.26568187252583758</c:v>
                </c:pt>
                <c:pt idx="394">
                  <c:v>0.26568187252583758</c:v>
                </c:pt>
                <c:pt idx="395">
                  <c:v>0.26568187252583758</c:v>
                </c:pt>
                <c:pt idx="396">
                  <c:v>0.26568187252583758</c:v>
                </c:pt>
                <c:pt idx="397">
                  <c:v>0.26568187252583758</c:v>
                </c:pt>
                <c:pt idx="398">
                  <c:v>0.26568187252583758</c:v>
                </c:pt>
                <c:pt idx="399">
                  <c:v>0.26568187252583758</c:v>
                </c:pt>
                <c:pt idx="400">
                  <c:v>0.26568187252583758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9-4285-8D00-1CE774BFD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787344"/>
        <c:axId val="328777744"/>
      </c:lineChart>
      <c:catAx>
        <c:axId val="3287873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T(v)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777744"/>
        <c:crosses val="autoZero"/>
        <c:auto val="1"/>
        <c:lblAlgn val="ctr"/>
        <c:lblOffset val="100"/>
        <c:noMultiLvlLbl val="0"/>
      </c:catAx>
      <c:valAx>
        <c:axId val="32877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S(av)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787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&#1606;&#1602;&#1588;&#1607; &#1607;&#1575;&#1740; &#1588;&#1578;&#1575;&#1576; &#1591;&#1740;&#1601;&#1740;'!A60"/><Relationship Id="rId13" Type="http://schemas.openxmlformats.org/officeDocument/2006/relationships/image" Target="../media/image23.svg"/><Relationship Id="rId18" Type="http://schemas.openxmlformats.org/officeDocument/2006/relationships/hyperlink" Target="https://kimiyasaze.com/%d9%81%d8%a7%db%8c%d9%84-%d9%85%d8%ad%d8%a7%d8%b3%d8%a8%d9%87-%d8%b6%d8%b1%db%8c%d8%a8-%d8%b2%d9%84%d8%b2%d9%84%d9%87/" TargetMode="External"/><Relationship Id="rId26" Type="http://schemas.openxmlformats.org/officeDocument/2006/relationships/hyperlink" Target="#'(2800-V5)-&#1778;&#1590;&#1585;&#1740;&#1576; &#1586;&#1604;&#1586;&#1604;&#1607; '!BO42"/><Relationship Id="rId3" Type="http://schemas.openxmlformats.org/officeDocument/2006/relationships/image" Target="../media/image18.png"/><Relationship Id="rId21" Type="http://schemas.openxmlformats.org/officeDocument/2006/relationships/hyperlink" Target="#'(2800-V5)-&#1778;&#1590;&#1585;&#1740;&#1576; &#1586;&#1604;&#1586;&#1604;&#1607; '!BN18"/><Relationship Id="rId7" Type="http://schemas.openxmlformats.org/officeDocument/2006/relationships/image" Target="../media/image21.svg"/><Relationship Id="rId12" Type="http://schemas.openxmlformats.org/officeDocument/2006/relationships/image" Target="../media/image22.png"/><Relationship Id="rId17" Type="http://schemas.openxmlformats.org/officeDocument/2006/relationships/image" Target="../media/image25.svg"/><Relationship Id="rId25" Type="http://schemas.openxmlformats.org/officeDocument/2006/relationships/hyperlink" Target="#'(2800-V5)-&#1778;&#1590;&#1585;&#1740;&#1576; &#1586;&#1604;&#1586;&#1604;&#1607; '!BO30"/><Relationship Id="rId2" Type="http://schemas.openxmlformats.org/officeDocument/2006/relationships/hyperlink" Target="#'&#1606;&#1602;&#1588;&#1607; &#1607;&#1575;&#1740; &#1588;&#1578;&#1575;&#1576; &#1591;&#1740;&#1601;&#1740;'!A1"/><Relationship Id="rId16" Type="http://schemas.openxmlformats.org/officeDocument/2006/relationships/image" Target="../media/image24.png"/><Relationship Id="rId20" Type="http://schemas.openxmlformats.org/officeDocument/2006/relationships/image" Target="../media/image27.svg"/><Relationship Id="rId29" Type="http://schemas.openxmlformats.org/officeDocument/2006/relationships/hyperlink" Target="#'(2800-V5)-&#1778;&#1590;&#1585;&#1740;&#1576; &#1586;&#1604;&#1586;&#1604;&#1607; '!BO115"/><Relationship Id="rId1" Type="http://schemas.openxmlformats.org/officeDocument/2006/relationships/image" Target="../media/image17.png"/><Relationship Id="rId6" Type="http://schemas.openxmlformats.org/officeDocument/2006/relationships/image" Target="../media/image20.png"/><Relationship Id="rId11" Type="http://schemas.openxmlformats.org/officeDocument/2006/relationships/hyperlink" Target="#'(2800-V4)-&#1778;&#1590;&#1585;&#1740;&#1576; &#1586;&#1604;&#1586;&#1604;&#1607;'!A10"/><Relationship Id="rId24" Type="http://schemas.openxmlformats.org/officeDocument/2006/relationships/image" Target="../media/image29.svg"/><Relationship Id="rId5" Type="http://schemas.openxmlformats.org/officeDocument/2006/relationships/hyperlink" Target="http://www.std2800.ir/" TargetMode="External"/><Relationship Id="rId15" Type="http://schemas.openxmlformats.org/officeDocument/2006/relationships/hyperlink" Target="#'2&#1585;&#1575;&#1607;&#1606;&#1605;&#1575;'!A1"/><Relationship Id="rId23" Type="http://schemas.openxmlformats.org/officeDocument/2006/relationships/image" Target="../media/image28.png"/><Relationship Id="rId28" Type="http://schemas.openxmlformats.org/officeDocument/2006/relationships/hyperlink" Target="#'(2800-V5)-&#1778;&#1590;&#1585;&#1740;&#1576; &#1586;&#1604;&#1586;&#1604;&#1607; '!BO81"/><Relationship Id="rId10" Type="http://schemas.openxmlformats.org/officeDocument/2006/relationships/chart" Target="../charts/chart4.xml"/><Relationship Id="rId19" Type="http://schemas.openxmlformats.org/officeDocument/2006/relationships/image" Target="../media/image26.png"/><Relationship Id="rId31" Type="http://schemas.openxmlformats.org/officeDocument/2006/relationships/hyperlink" Target="#'2&#1585;&#1575;&#1607;&#1606;&#1605;&#1575;'!A92"/><Relationship Id="rId4" Type="http://schemas.openxmlformats.org/officeDocument/2006/relationships/image" Target="../media/image19.svg"/><Relationship Id="rId9" Type="http://schemas.openxmlformats.org/officeDocument/2006/relationships/chart" Target="../charts/chart3.xml"/><Relationship Id="rId14" Type="http://schemas.openxmlformats.org/officeDocument/2006/relationships/hyperlink" Target="#'0&#1585;&#1575;&#1607;&#1606;&#1605;&#1575;&#1740; &#1605;&#1593;&#1585;&#1601;&#1740; &#1591;&#1740;&#1601; &#1591;&#1585;&#1581;'!A1"/><Relationship Id="rId22" Type="http://schemas.openxmlformats.org/officeDocument/2006/relationships/hyperlink" Target="#'(2800-V5)-&#1778;&#1590;&#1585;&#1740;&#1576; &#1586;&#1604;&#1586;&#1604;&#1607; '!BO6"/><Relationship Id="rId27" Type="http://schemas.openxmlformats.org/officeDocument/2006/relationships/image" Target="../media/image30.svg"/><Relationship Id="rId30" Type="http://schemas.openxmlformats.org/officeDocument/2006/relationships/hyperlink" Target="#'(2800-V5)-&#1778;&#1590;&#1585;&#1740;&#1576; &#1586;&#1604;&#1586;&#1604;&#1607; '!CB4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2</xdr:row>
      <xdr:rowOff>93134</xdr:rowOff>
    </xdr:from>
    <xdr:to>
      <xdr:col>12</xdr:col>
      <xdr:colOff>558800</xdr:colOff>
      <xdr:row>41</xdr:row>
      <xdr:rowOff>37548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13B315-A1E8-C696-C479-C2EC22A8E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812400" y="465667"/>
          <a:ext cx="7772400" cy="72088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12</xdr:col>
      <xdr:colOff>457200</xdr:colOff>
      <xdr:row>83</xdr:row>
      <xdr:rowOff>1988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A9BE484-F0E7-861C-A9B2-C9823664C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914000" y="8382000"/>
          <a:ext cx="7772400" cy="70801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213360</xdr:colOff>
      <xdr:row>7</xdr:row>
      <xdr:rowOff>68580</xdr:rowOff>
    </xdr:from>
    <xdr:to>
      <xdr:col>17</xdr:col>
      <xdr:colOff>47192</xdr:colOff>
      <xdr:row>12</xdr:row>
      <xdr:rowOff>121920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D3B122-6CE7-CA98-AFA0-A498DE2BC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77885608" y="1348740"/>
          <a:ext cx="2881832" cy="96774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15241</xdr:colOff>
      <xdr:row>14</xdr:row>
      <xdr:rowOff>38101</xdr:rowOff>
    </xdr:from>
    <xdr:to>
      <xdr:col>16</xdr:col>
      <xdr:colOff>313988</xdr:colOff>
      <xdr:row>19</xdr:row>
      <xdr:rowOff>137160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7C9FB7-7DDB-B5C8-ABF2-018C782EA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093"/>
        <a:stretch/>
      </xdr:blipFill>
      <xdr:spPr>
        <a:xfrm>
          <a:off x="9978228412" y="2415541"/>
          <a:ext cx="2127547" cy="1013459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</xdr:colOff>
      <xdr:row>21</xdr:row>
      <xdr:rowOff>135164</xdr:rowOff>
    </xdr:from>
    <xdr:to>
      <xdr:col>18</xdr:col>
      <xdr:colOff>2931</xdr:colOff>
      <xdr:row>29</xdr:row>
      <xdr:rowOff>45720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A160DA7-A3CA-4F59-BC5A-23BD31C5D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77068809" y="3609884"/>
          <a:ext cx="4437771" cy="1373596"/>
        </a:xfrm>
        <a:prstGeom prst="rect">
          <a:avLst/>
        </a:prstGeom>
      </xdr:spPr>
    </xdr:pic>
    <xdr:clientData/>
  </xdr:twoCellAnchor>
  <xdr:twoCellAnchor editAs="oneCell">
    <xdr:from>
      <xdr:col>13</xdr:col>
      <xdr:colOff>114300</xdr:colOff>
      <xdr:row>31</xdr:row>
      <xdr:rowOff>22861</xdr:rowOff>
    </xdr:from>
    <xdr:to>
      <xdr:col>16</xdr:col>
      <xdr:colOff>205740</xdr:colOff>
      <xdr:row>36</xdr:row>
      <xdr:rowOff>119114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6BDBDD9-4E8C-4522-DC5A-1F8DA894A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78336660" y="5143501"/>
          <a:ext cx="1920240" cy="1010653"/>
        </a:xfrm>
        <a:prstGeom prst="rect">
          <a:avLst/>
        </a:prstGeom>
      </xdr:spPr>
    </xdr:pic>
    <xdr:clientData/>
  </xdr:twoCellAnchor>
  <xdr:twoCellAnchor editAs="oneCell">
    <xdr:from>
      <xdr:col>12</xdr:col>
      <xdr:colOff>253281</xdr:colOff>
      <xdr:row>38</xdr:row>
      <xdr:rowOff>68580</xdr:rowOff>
    </xdr:from>
    <xdr:to>
      <xdr:col>16</xdr:col>
      <xdr:colOff>515246</xdr:colOff>
      <xdr:row>47</xdr:row>
      <xdr:rowOff>65315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AB15C1A-5D46-0141-285C-2F5B25A8D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78027154" y="6286500"/>
          <a:ext cx="2700365" cy="1642655"/>
        </a:xfrm>
        <a:prstGeom prst="rect">
          <a:avLst/>
        </a:prstGeom>
      </xdr:spPr>
    </xdr:pic>
    <xdr:clientData/>
  </xdr:twoCellAnchor>
  <xdr:twoCellAnchor editAs="oneCell">
    <xdr:from>
      <xdr:col>13</xdr:col>
      <xdr:colOff>321599</xdr:colOff>
      <xdr:row>49</xdr:row>
      <xdr:rowOff>68581</xdr:rowOff>
    </xdr:from>
    <xdr:to>
      <xdr:col>17</xdr:col>
      <xdr:colOff>60960</xdr:colOff>
      <xdr:row>56</xdr:row>
      <xdr:rowOff>129623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D05D577-CD9E-E7D0-D52D-078EAEB32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77871840" y="8115301"/>
          <a:ext cx="2177761" cy="1341202"/>
        </a:xfrm>
        <a:prstGeom prst="rect">
          <a:avLst/>
        </a:prstGeom>
      </xdr:spPr>
    </xdr:pic>
    <xdr:clientData/>
  </xdr:twoCellAnchor>
  <xdr:twoCellAnchor editAs="oneCell">
    <xdr:from>
      <xdr:col>12</xdr:col>
      <xdr:colOff>472439</xdr:colOff>
      <xdr:row>58</xdr:row>
      <xdr:rowOff>129540</xdr:rowOff>
    </xdr:from>
    <xdr:to>
      <xdr:col>17</xdr:col>
      <xdr:colOff>84351</xdr:colOff>
      <xdr:row>84</xdr:row>
      <xdr:rowOff>136190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1AFE560-753F-E432-6CE4-493D54CFBF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r="1822"/>
        <a:stretch/>
      </xdr:blipFill>
      <xdr:spPr>
        <a:xfrm>
          <a:off x="9977848449" y="9639300"/>
          <a:ext cx="2659912" cy="4761530"/>
        </a:xfrm>
        <a:prstGeom prst="rect">
          <a:avLst/>
        </a:prstGeom>
      </xdr:spPr>
    </xdr:pic>
    <xdr:clientData/>
  </xdr:twoCellAnchor>
  <xdr:twoCellAnchor editAs="oneCell">
    <xdr:from>
      <xdr:col>12</xdr:col>
      <xdr:colOff>99060</xdr:colOff>
      <xdr:row>131</xdr:row>
      <xdr:rowOff>91442</xdr:rowOff>
    </xdr:from>
    <xdr:to>
      <xdr:col>16</xdr:col>
      <xdr:colOff>419100</xdr:colOff>
      <xdr:row>136</xdr:row>
      <xdr:rowOff>71186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613654-9742-6DDC-1D37-AF7CA476F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977513700" y="25854662"/>
          <a:ext cx="2758440" cy="1160844"/>
        </a:xfrm>
        <a:prstGeom prst="rect">
          <a:avLst/>
        </a:prstGeom>
      </xdr:spPr>
    </xdr:pic>
    <xdr:clientData/>
  </xdr:twoCellAnchor>
  <xdr:twoCellAnchor editAs="oneCell">
    <xdr:from>
      <xdr:col>13</xdr:col>
      <xdr:colOff>259080</xdr:colOff>
      <xdr:row>139</xdr:row>
      <xdr:rowOff>91441</xdr:rowOff>
    </xdr:from>
    <xdr:to>
      <xdr:col>15</xdr:col>
      <xdr:colOff>74429</xdr:colOff>
      <xdr:row>152</xdr:row>
      <xdr:rowOff>106681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C3A1DF7-E7CD-51A3-D685-400ED4FB3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78467971" y="18394681"/>
          <a:ext cx="1034549" cy="2392680"/>
        </a:xfrm>
        <a:prstGeom prst="rect">
          <a:avLst/>
        </a:prstGeom>
      </xdr:spPr>
    </xdr:pic>
    <xdr:clientData/>
  </xdr:twoCellAnchor>
  <xdr:twoCellAnchor editAs="oneCell">
    <xdr:from>
      <xdr:col>11</xdr:col>
      <xdr:colOff>472440</xdr:colOff>
      <xdr:row>154</xdr:row>
      <xdr:rowOff>45720</xdr:rowOff>
    </xdr:from>
    <xdr:to>
      <xdr:col>16</xdr:col>
      <xdr:colOff>259080</xdr:colOff>
      <xdr:row>174</xdr:row>
      <xdr:rowOff>104036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82EA71C-D679-E3E3-B54C-626FE52BC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77422260" y="21694140"/>
          <a:ext cx="3086100" cy="3715916"/>
        </a:xfrm>
        <a:prstGeom prst="rect">
          <a:avLst/>
        </a:prstGeom>
      </xdr:spPr>
    </xdr:pic>
    <xdr:clientData/>
  </xdr:twoCellAnchor>
  <xdr:oneCellAnchor>
    <xdr:from>
      <xdr:col>12</xdr:col>
      <xdr:colOff>99060</xdr:colOff>
      <xdr:row>96</xdr:row>
      <xdr:rowOff>91442</xdr:rowOff>
    </xdr:from>
    <xdr:ext cx="2758440" cy="1160844"/>
    <xdr:pic>
      <xdr:nvPicPr>
        <xdr:cNvPr id="12" name="Picture 11">
          <a:extLst>
            <a:ext uri="{FF2B5EF4-FFF2-40B4-BE49-F238E27FC236}">
              <a16:creationId xmlns:a16="http://schemas.microsoft.com/office/drawing/2014/main" id="{C4BB7FCD-8CF1-44FE-AE82-F1E2E6F9C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977513700" y="25854662"/>
          <a:ext cx="2758440" cy="1160844"/>
        </a:xfrm>
        <a:prstGeom prst="rect">
          <a:avLst/>
        </a:prstGeom>
      </xdr:spPr>
    </xdr:pic>
    <xdr:clientData/>
  </xdr:oneCellAnchor>
  <xdr:twoCellAnchor editAs="oneCell">
    <xdr:from>
      <xdr:col>13</xdr:col>
      <xdr:colOff>459629</xdr:colOff>
      <xdr:row>104</xdr:row>
      <xdr:rowOff>114300</xdr:rowOff>
    </xdr:from>
    <xdr:to>
      <xdr:col>15</xdr:col>
      <xdr:colOff>141270</xdr:colOff>
      <xdr:row>112</xdr:row>
      <xdr:rowOff>111099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19A6E7D-442B-6EC7-7B83-CEAEAF8B8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978401130" y="19019520"/>
          <a:ext cx="900841" cy="1825599"/>
        </a:xfrm>
        <a:prstGeom prst="rect">
          <a:avLst/>
        </a:prstGeom>
      </xdr:spPr>
    </xdr:pic>
    <xdr:clientData/>
  </xdr:twoCellAnchor>
  <xdr:twoCellAnchor editAs="oneCell">
    <xdr:from>
      <xdr:col>10</xdr:col>
      <xdr:colOff>22859</xdr:colOff>
      <xdr:row>114</xdr:row>
      <xdr:rowOff>68580</xdr:rowOff>
    </xdr:from>
    <xdr:to>
      <xdr:col>18</xdr:col>
      <xdr:colOff>361799</xdr:colOff>
      <xdr:row>127</xdr:row>
      <xdr:rowOff>167640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EAB9B0D-6A18-EE26-4B96-80EDD65B4D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r="5261"/>
        <a:stretch/>
      </xdr:blipFill>
      <xdr:spPr>
        <a:xfrm>
          <a:off x="9976100341" y="21259800"/>
          <a:ext cx="5467200" cy="3070860"/>
        </a:xfrm>
        <a:prstGeom prst="rect">
          <a:avLst/>
        </a:prstGeom>
      </xdr:spPr>
    </xdr:pic>
    <xdr:clientData/>
  </xdr:twoCellAnchor>
  <xdr:oneCellAnchor>
    <xdr:from>
      <xdr:col>12</xdr:col>
      <xdr:colOff>99060</xdr:colOff>
      <xdr:row>176</xdr:row>
      <xdr:rowOff>91442</xdr:rowOff>
    </xdr:from>
    <xdr:ext cx="2758440" cy="1160844"/>
    <xdr:pic>
      <xdr:nvPicPr>
        <xdr:cNvPr id="15" name="Picture 14">
          <a:extLst>
            <a:ext uri="{FF2B5EF4-FFF2-40B4-BE49-F238E27FC236}">
              <a16:creationId xmlns:a16="http://schemas.microsoft.com/office/drawing/2014/main" id="{17925B75-2CE3-4B6B-A96D-78FA47BAA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977513700" y="17899382"/>
          <a:ext cx="2758440" cy="1160844"/>
        </a:xfrm>
        <a:prstGeom prst="rect">
          <a:avLst/>
        </a:prstGeom>
      </xdr:spPr>
    </xdr:pic>
    <xdr:clientData/>
  </xdr:oneCellAnchor>
  <xdr:twoCellAnchor editAs="oneCell">
    <xdr:from>
      <xdr:col>13</xdr:col>
      <xdr:colOff>340363</xdr:colOff>
      <xdr:row>183</xdr:row>
      <xdr:rowOff>68580</xdr:rowOff>
    </xdr:from>
    <xdr:to>
      <xdr:col>15</xdr:col>
      <xdr:colOff>230608</xdr:colOff>
      <xdr:row>196</xdr:row>
      <xdr:rowOff>182880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72BA40E-FACD-17E3-3F45-3CB846C1B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78311792" y="35524440"/>
          <a:ext cx="1109445" cy="3086100"/>
        </a:xfrm>
        <a:prstGeom prst="rect">
          <a:avLst/>
        </a:prstGeom>
      </xdr:spPr>
    </xdr:pic>
    <xdr:clientData/>
  </xdr:twoCellAnchor>
  <xdr:twoCellAnchor editAs="oneCell">
    <xdr:from>
      <xdr:col>10</xdr:col>
      <xdr:colOff>26126</xdr:colOff>
      <xdr:row>198</xdr:row>
      <xdr:rowOff>114300</xdr:rowOff>
    </xdr:from>
    <xdr:to>
      <xdr:col>18</xdr:col>
      <xdr:colOff>561864</xdr:colOff>
      <xdr:row>211</xdr:row>
      <xdr:rowOff>25708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DF1DB74-5C5D-9935-B3CD-A57F71A8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75900276" y="39753540"/>
          <a:ext cx="5663998" cy="29746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71352</xdr:colOff>
      <xdr:row>33</xdr:row>
      <xdr:rowOff>46811</xdr:rowOff>
    </xdr:from>
    <xdr:ext cx="1489363" cy="4259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 txBox="1"/>
          </xdr:nvSpPr>
          <xdr:spPr>
            <a:xfrm>
              <a:off x="10217407925" y="7224851"/>
              <a:ext cx="1489363" cy="4259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400" b="1">
                  <a:solidFill>
                    <a:sysClr val="windowText" lastClr="000000"/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n-US" sz="1400" b="1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r>
                        <a:rPr lang="en-US" sz="1400" b="1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𝑪</m:t>
                      </m:r>
                    </m:e>
                    <m:sub>
                      <m:r>
                        <a:rPr lang="en-US" sz="1400" b="1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𝑫𝒆𝒔𝒊𝒈𝒏</m:t>
                      </m:r>
                    </m:sub>
                  </m:sSub>
                  <m:r>
                    <a:rPr lang="en-US" sz="1400" b="1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cs typeface="Times New Roman" pitchFamily="18" charset="0"/>
                    </a:rPr>
                    <m:t> = </m:t>
                  </m:r>
                  <m:f>
                    <m:fPr>
                      <m:ctrlPr>
                        <a:rPr lang="en-US" sz="1400" b="1" i="1" baseline="0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1400" b="1" i="1" baseline="0">
                          <a:solidFill>
                            <a:sysClr val="windowText" lastClr="000000"/>
                          </a:solidFill>
                          <a:latin typeface="Cambria Math"/>
                        </a:rPr>
                        <m:t>𝑨𝑩𝑰</m:t>
                      </m:r>
                    </m:num>
                    <m:den>
                      <m:sSub>
                        <m:sSubPr>
                          <m:ctrlPr>
                            <a:rPr lang="en-US" sz="1400" b="1" i="1" baseline="0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n-US" sz="1400" b="1" i="1" baseline="0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</a:rPr>
                            <m:t>𝑹</m:t>
                          </m:r>
                        </m:e>
                        <m:sub>
                          <m:r>
                            <a:rPr lang="en-US" sz="1400" b="1" i="1" baseline="0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</a:rPr>
                            <m:t>𝒖</m:t>
                          </m:r>
                        </m:sub>
                      </m:sSub>
                    </m:den>
                  </m:f>
                </m:oMath>
              </a14:m>
              <a:endParaRPr lang="en-US" sz="1400" b="1">
                <a:solidFill>
                  <a:sysClr val="windowText" lastClr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 txBox="1"/>
          </xdr:nvSpPr>
          <xdr:spPr>
            <a:xfrm>
              <a:off x="10217407925" y="7224851"/>
              <a:ext cx="1489363" cy="4259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400" b="1">
                  <a:solidFill>
                    <a:sysClr val="windowText" lastClr="000000"/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:r>
                <a:rPr lang="en-US" sz="1400" b="1" i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𝑪_𝑫𝒆𝒔𝒊𝒈𝒏</a:t>
              </a:r>
              <a:r>
                <a:rPr lang="en-US" sz="1400" b="1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 = </a:t>
              </a:r>
              <a:r>
                <a:rPr lang="en-US" sz="1400" b="1" i="0" baseline="0">
                  <a:solidFill>
                    <a:sysClr val="windowText" lastClr="000000"/>
                  </a:solidFill>
                  <a:latin typeface="Cambria Math"/>
                </a:rPr>
                <a:t> 𝑨𝑩𝑰</a:t>
              </a:r>
              <a:r>
                <a:rPr lang="en-US" sz="1400" b="1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/𝑹_𝒖 </a:t>
              </a:r>
              <a:endParaRPr lang="en-US" sz="1400" b="1">
                <a:solidFill>
                  <a:sysClr val="windowText" lastClr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twoCellAnchor editAs="oneCell">
    <xdr:from>
      <xdr:col>30</xdr:col>
      <xdr:colOff>41564</xdr:colOff>
      <xdr:row>4</xdr:row>
      <xdr:rowOff>371878</xdr:rowOff>
    </xdr:from>
    <xdr:to>
      <xdr:col>35</xdr:col>
      <xdr:colOff>89592</xdr:colOff>
      <xdr:row>8</xdr:row>
      <xdr:rowOff>91015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26" r="12751"/>
        <a:stretch/>
      </xdr:blipFill>
      <xdr:spPr>
        <a:xfrm>
          <a:off x="10198033498" y="1078460"/>
          <a:ext cx="851592" cy="772082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oneCellAnchor>
    <xdr:from>
      <xdr:col>25</xdr:col>
      <xdr:colOff>110836</xdr:colOff>
      <xdr:row>39</xdr:row>
      <xdr:rowOff>101537</xdr:rowOff>
    </xdr:from>
    <xdr:ext cx="1447799" cy="37830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9D7837B8-959C-490E-9AA3-E860F3BFBE1B}"/>
                </a:ext>
              </a:extLst>
            </xdr:cNvPr>
            <xdr:cNvSpPr txBox="1"/>
          </xdr:nvSpPr>
          <xdr:spPr>
            <a:xfrm>
              <a:off x="10199016710" y="7693828"/>
              <a:ext cx="1447799" cy="3783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200">
                  <a:solidFill>
                    <a:sysClr val="windowText" lastClr="000000"/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n-US" sz="12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d>
                        <m:dPr>
                          <m:ctrlPr>
                            <a:rPr lang="en-US" sz="1200" i="1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  <a:cs typeface="Times New Roman" pitchFamily="18" charset="0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n-US" sz="120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</m:ctrlPr>
                            </m:sSubPr>
                            <m:e>
                              <m:r>
                                <a:rPr lang="en-US" sz="1200" b="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  <m:t>𝐶</m:t>
                              </m:r>
                            </m:e>
                            <m:sub>
                              <m:r>
                                <a:rPr lang="en-US" sz="1200" b="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  <m:t>𝐷𝑟𝑖𝑓𝑡</m:t>
                              </m:r>
                            </m:sub>
                          </m:sSub>
                        </m:e>
                      </m:d>
                    </m:e>
                    <m:sub>
                      <m:r>
                        <a:rPr lang="en-US" sz="1200" b="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𝑋</m:t>
                      </m:r>
                    </m:sub>
                  </m:sSub>
                  <m:r>
                    <a:rPr lang="en-US" sz="120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cs typeface="Times New Roman" pitchFamily="18" charset="0"/>
                    </a:rPr>
                    <m:t> = </m:t>
                  </m:r>
                  <m:f>
                    <m:fPr>
                      <m:ctrlPr>
                        <a:rPr lang="en-US" sz="1200" i="1" baseline="0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1200" b="0" i="1" baseline="0">
                          <a:solidFill>
                            <a:sysClr val="windowText" lastClr="000000"/>
                          </a:solidFill>
                          <a:latin typeface="Cambria Math"/>
                        </a:rPr>
                        <m:t>𝐴𝐵𝐼</m:t>
                      </m:r>
                    </m:num>
                    <m:den>
                      <m:sSub>
                        <m:sSubPr>
                          <m:ctrlPr>
                            <a:rPr lang="en-US" sz="1200" b="0" i="1" baseline="0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n-US" sz="1200" b="0" i="1" baseline="0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</a:rPr>
                            <m:t>𝑅</m:t>
                          </m:r>
                        </m:e>
                        <m:sub>
                          <m:r>
                            <a:rPr lang="en-US" sz="1200" b="0" i="1" baseline="0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</a:rPr>
                            <m:t>𝑢</m:t>
                          </m:r>
                        </m:sub>
                      </m:sSub>
                    </m:den>
                  </m:f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US" sz="1200">
                <a:solidFill>
                  <a:sysClr val="windowText" lastClr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9D7837B8-959C-490E-9AA3-E860F3BFBE1B}"/>
                </a:ext>
              </a:extLst>
            </xdr:cNvPr>
            <xdr:cNvSpPr txBox="1"/>
          </xdr:nvSpPr>
          <xdr:spPr>
            <a:xfrm>
              <a:off x="10199016710" y="7693828"/>
              <a:ext cx="1447799" cy="3783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200">
                  <a:solidFill>
                    <a:sysClr val="windowText" lastClr="000000"/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(</a:t>
              </a:r>
              <a:r>
                <a:rPr lang="en-U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𝐶_𝐷𝑟𝑖𝑓𝑡 )_𝑋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= 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/>
                </a:rPr>
                <a:t> 𝐴𝐵𝐼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/𝑅_𝑢 =</a:t>
              </a:r>
              <a:endParaRPr lang="en-US" sz="1200">
                <a:solidFill>
                  <a:sysClr val="windowText" lastClr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25</xdr:col>
      <xdr:colOff>117763</xdr:colOff>
      <xdr:row>42</xdr:row>
      <xdr:rowOff>93920</xdr:rowOff>
    </xdr:from>
    <xdr:ext cx="1447801" cy="37830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DF006D66-58E3-4399-BEB2-4C0193E4A1D8}"/>
                </a:ext>
              </a:extLst>
            </xdr:cNvPr>
            <xdr:cNvSpPr txBox="1"/>
          </xdr:nvSpPr>
          <xdr:spPr>
            <a:xfrm>
              <a:off x="10199009781" y="8496702"/>
              <a:ext cx="1447801" cy="3783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200">
                  <a:solidFill>
                    <a:sysClr val="windowText" lastClr="000000"/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n-US" sz="12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d>
                        <m:dPr>
                          <m:ctrlPr>
                            <a:rPr lang="en-US" sz="1200" i="1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  <a:cs typeface="Times New Roman" pitchFamily="18" charset="0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n-US" sz="120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</m:ctrlPr>
                            </m:sSubPr>
                            <m:e>
                              <m:r>
                                <a:rPr lang="en-US" sz="1200" b="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  <m:t>𝐶</m:t>
                              </m:r>
                            </m:e>
                            <m:sub>
                              <m:r>
                                <a:rPr lang="en-US" sz="1200" b="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  <m:t>𝐷𝑟𝑖𝑓𝑡</m:t>
                              </m:r>
                            </m:sub>
                          </m:sSub>
                        </m:e>
                      </m:d>
                    </m:e>
                    <m:sub>
                      <m:r>
                        <a:rPr lang="en-US" sz="1200" b="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𝑌</m:t>
                      </m:r>
                    </m:sub>
                  </m:sSub>
                  <m:r>
                    <a:rPr lang="en-US" sz="120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cs typeface="Times New Roman" pitchFamily="18" charset="0"/>
                    </a:rPr>
                    <m:t> = </m:t>
                  </m:r>
                  <m:f>
                    <m:fPr>
                      <m:ctrlPr>
                        <a:rPr lang="en-US" sz="1200" i="1" baseline="0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1200" b="0" i="1" baseline="0">
                          <a:solidFill>
                            <a:sysClr val="windowText" lastClr="000000"/>
                          </a:solidFill>
                          <a:latin typeface="Cambria Math"/>
                        </a:rPr>
                        <m:t>𝐴𝐵𝐼</m:t>
                      </m:r>
                    </m:num>
                    <m:den>
                      <m:sSub>
                        <m:sSubPr>
                          <m:ctrlPr>
                            <a:rPr lang="en-US" sz="1200" b="0" i="1" baseline="0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n-US" sz="1200" b="0" i="1" baseline="0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</a:rPr>
                            <m:t>𝑅</m:t>
                          </m:r>
                        </m:e>
                        <m:sub>
                          <m:r>
                            <a:rPr lang="en-US" sz="1200" b="0" i="1" baseline="0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</a:rPr>
                            <m:t>𝑢</m:t>
                          </m:r>
                        </m:sub>
                      </m:sSub>
                    </m:den>
                  </m:f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US" sz="1200">
                <a:solidFill>
                  <a:sysClr val="windowText" lastClr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DF006D66-58E3-4399-BEB2-4C0193E4A1D8}"/>
                </a:ext>
              </a:extLst>
            </xdr:cNvPr>
            <xdr:cNvSpPr txBox="1"/>
          </xdr:nvSpPr>
          <xdr:spPr>
            <a:xfrm>
              <a:off x="10199009781" y="8496702"/>
              <a:ext cx="1447801" cy="3783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200">
                  <a:solidFill>
                    <a:sysClr val="windowText" lastClr="000000"/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(</a:t>
              </a:r>
              <a:r>
                <a:rPr lang="en-U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𝐶_𝐷𝑟𝑖𝑓𝑡 )_𝑌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= 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/>
                </a:rPr>
                <a:t> 𝐴𝐵𝐼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/𝑅_𝑢 =</a:t>
              </a:r>
              <a:endParaRPr lang="en-US" sz="1200">
                <a:solidFill>
                  <a:sysClr val="windowText" lastClr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124691</xdr:colOff>
      <xdr:row>39</xdr:row>
      <xdr:rowOff>135482</xdr:rowOff>
    </xdr:from>
    <xdr:ext cx="720437" cy="2576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D457AFDB-32C3-45F4-8854-AC142EE0CF02}"/>
                </a:ext>
              </a:extLst>
            </xdr:cNvPr>
            <xdr:cNvSpPr txBox="1"/>
          </xdr:nvSpPr>
          <xdr:spPr>
            <a:xfrm>
              <a:off x="10203373963" y="7727773"/>
              <a:ext cx="720437" cy="2576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>
                  <a:solidFill>
                    <a:srgbClr val="C00000"/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n-US" sz="110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r>
                        <a:rPr lang="en-US" sz="11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𝐶</m:t>
                      </m:r>
                    </m:e>
                    <m:sub>
                      <m:r>
                        <a:rPr lang="en-US" sz="11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𝑚𝑖𝑛</m:t>
                      </m:r>
                    </m:sub>
                  </m:sSub>
                  <m:r>
                    <a:rPr lang="en-US" sz="1100" i="1" baseline="0">
                      <a:solidFill>
                        <a:srgbClr val="C00000"/>
                      </a:solidFill>
                      <a:latin typeface="Cambria Math" panose="02040503050406030204" pitchFamily="18" charset="0"/>
                      <a:cs typeface="Times New Roman" pitchFamily="18" charset="0"/>
                    </a:rPr>
                    <m:t> </m:t>
                  </m:r>
                  <m:r>
                    <a:rPr lang="en-US" sz="1100" b="0" i="1" baseline="0">
                      <a:solidFill>
                        <a:srgbClr val="C00000"/>
                      </a:solidFill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US" sz="1100">
                <a:solidFill>
                  <a:srgbClr val="C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D457AFDB-32C3-45F4-8854-AC142EE0CF02}"/>
                </a:ext>
              </a:extLst>
            </xdr:cNvPr>
            <xdr:cNvSpPr txBox="1"/>
          </xdr:nvSpPr>
          <xdr:spPr>
            <a:xfrm>
              <a:off x="10203373963" y="7727773"/>
              <a:ext cx="720437" cy="2576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>
                  <a:solidFill>
                    <a:srgbClr val="C00000"/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:r>
                <a:rPr lang="en-US" sz="1100" b="0" i="0">
                  <a:solidFill>
                    <a:srgbClr val="C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𝐶_𝑚𝑖𝑛</a:t>
              </a:r>
              <a:r>
                <a:rPr lang="en-US" sz="1100" b="0" i="0" baseline="0">
                  <a:solidFill>
                    <a:srgbClr val="C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i="0" baseline="0">
                  <a:solidFill>
                    <a:srgbClr val="C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b="0" i="0" baseline="0">
                  <a:solidFill>
                    <a:srgbClr val="C00000"/>
                  </a:solidFill>
                  <a:latin typeface="Cambria Math" panose="02040503050406030204" pitchFamily="18" charset="0"/>
                </a:rPr>
                <a:t>=</a:t>
              </a:r>
              <a:endParaRPr lang="en-US" sz="1100">
                <a:solidFill>
                  <a:srgbClr val="C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twoCellAnchor>
    <xdr:from>
      <xdr:col>1</xdr:col>
      <xdr:colOff>160712</xdr:colOff>
      <xdr:row>37</xdr:row>
      <xdr:rowOff>0</xdr:rowOff>
    </xdr:from>
    <xdr:to>
      <xdr:col>35</xdr:col>
      <xdr:colOff>131617</xdr:colOff>
      <xdr:row>37</xdr:row>
      <xdr:rowOff>0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513B476E-3EE7-CFD3-3F89-848ABFF91A78}"/>
            </a:ext>
          </a:extLst>
        </xdr:cNvPr>
        <xdr:cNvCxnSpPr/>
      </xdr:nvCxnSpPr>
      <xdr:spPr>
        <a:xfrm flipH="1">
          <a:off x="10197887564" y="6691745"/>
          <a:ext cx="5852160" cy="0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34</xdr:col>
      <xdr:colOff>48491</xdr:colOff>
      <xdr:row>24</xdr:row>
      <xdr:rowOff>190499</xdr:rowOff>
    </xdr:from>
    <xdr:ext cx="277786" cy="1766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EB8FE4ED-B423-632A-4427-A68D048B81AC}"/>
                </a:ext>
              </a:extLst>
            </xdr:cNvPr>
            <xdr:cNvSpPr txBox="1"/>
          </xdr:nvSpPr>
          <xdr:spPr>
            <a:xfrm>
              <a:off x="10198690432" y="4547754"/>
              <a:ext cx="277786" cy="1766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𝑇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𝑥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EB8FE4ED-B423-632A-4427-A68D048B81AC}"/>
                </a:ext>
              </a:extLst>
            </xdr:cNvPr>
            <xdr:cNvSpPr txBox="1"/>
          </xdr:nvSpPr>
          <xdr:spPr>
            <a:xfrm>
              <a:off x="10198690432" y="4547754"/>
              <a:ext cx="277786" cy="1766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:r>
                <a:rPr lang="en-US" sz="1100" b="0" i="0">
                  <a:latin typeface="Cambria Math" panose="02040503050406030204" pitchFamily="18" charset="0"/>
                </a:rPr>
                <a:t>𝑇_𝑥=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26</xdr:col>
      <xdr:colOff>34636</xdr:colOff>
      <xdr:row>25</xdr:row>
      <xdr:rowOff>3463</xdr:rowOff>
    </xdr:from>
    <xdr:ext cx="292338" cy="18293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5E9D5D3B-D825-4F69-AEE8-ED328FEFFF3A}"/>
                </a:ext>
              </a:extLst>
            </xdr:cNvPr>
            <xdr:cNvSpPr txBox="1"/>
          </xdr:nvSpPr>
          <xdr:spPr>
            <a:xfrm>
              <a:off x="10200054408" y="4554681"/>
              <a:ext cx="292338" cy="1829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𝑇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𝑦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5E9D5D3B-D825-4F69-AEE8-ED328FEFFF3A}"/>
                </a:ext>
              </a:extLst>
            </xdr:cNvPr>
            <xdr:cNvSpPr txBox="1"/>
          </xdr:nvSpPr>
          <xdr:spPr>
            <a:xfrm>
              <a:off x="10200054408" y="4554681"/>
              <a:ext cx="292338" cy="1829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:r>
                <a:rPr lang="en-US" sz="1100" b="0" i="0">
                  <a:latin typeface="Cambria Math" panose="02040503050406030204" pitchFamily="18" charset="0"/>
                </a:rPr>
                <a:t>𝑇_𝑦=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4</xdr:col>
      <xdr:colOff>39486</xdr:colOff>
      <xdr:row>33</xdr:row>
      <xdr:rowOff>136176</xdr:rowOff>
    </xdr:from>
    <xdr:ext cx="872838" cy="2981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B495DA70-F580-4372-A413-24CBFC4487E0}"/>
                </a:ext>
              </a:extLst>
            </xdr:cNvPr>
            <xdr:cNvSpPr txBox="1"/>
          </xdr:nvSpPr>
          <xdr:spPr>
            <a:xfrm>
              <a:off x="10221675816" y="7283736"/>
              <a:ext cx="872838" cy="2981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ctr" rtl="0"/>
              <a:r>
                <a:rPr lang="en-US" sz="1200" b="1">
                  <a:solidFill>
                    <a:srgbClr val="C00000"/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n-US" sz="1200" b="1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r>
                        <a:rPr lang="en-US" sz="1200" b="1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𝑪</m:t>
                      </m:r>
                    </m:e>
                    <m:sub>
                      <m:r>
                        <a:rPr lang="en-US" sz="1200" b="1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𝒎𝒊𝒏</m:t>
                      </m:r>
                    </m:sub>
                  </m:sSub>
                  <m:r>
                    <a:rPr lang="en-US" sz="1200" b="1" i="1" baseline="0">
                      <a:solidFill>
                        <a:srgbClr val="C00000"/>
                      </a:solidFill>
                      <a:latin typeface="Cambria Math" panose="02040503050406030204" pitchFamily="18" charset="0"/>
                      <a:cs typeface="Times New Roman" pitchFamily="18" charset="0"/>
                    </a:rPr>
                    <m:t> </m:t>
                  </m:r>
                  <m:r>
                    <a:rPr lang="en-US" sz="1200" b="1" i="1" baseline="0">
                      <a:solidFill>
                        <a:srgbClr val="C00000"/>
                      </a:solidFill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US" sz="1200" b="1">
                <a:solidFill>
                  <a:srgbClr val="C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B495DA70-F580-4372-A413-24CBFC4487E0}"/>
                </a:ext>
              </a:extLst>
            </xdr:cNvPr>
            <xdr:cNvSpPr txBox="1"/>
          </xdr:nvSpPr>
          <xdr:spPr>
            <a:xfrm>
              <a:off x="10221675816" y="7283736"/>
              <a:ext cx="872838" cy="2981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ctr" rtl="0"/>
              <a:r>
                <a:rPr lang="en-US" sz="1200" b="1">
                  <a:solidFill>
                    <a:srgbClr val="C00000"/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:r>
                <a:rPr lang="en-US" sz="1200" b="1" i="0">
                  <a:solidFill>
                    <a:srgbClr val="C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𝑪_𝒎𝒊𝒏</a:t>
              </a:r>
              <a:r>
                <a:rPr lang="en-US" sz="1200" b="1" i="0" baseline="0">
                  <a:solidFill>
                    <a:srgbClr val="C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 </a:t>
              </a:r>
              <a:r>
                <a:rPr lang="en-US" sz="1200" b="1" i="0" baseline="0">
                  <a:solidFill>
                    <a:srgbClr val="C00000"/>
                  </a:solidFill>
                  <a:latin typeface="Cambria Math" panose="02040503050406030204" pitchFamily="18" charset="0"/>
                </a:rPr>
                <a:t>=</a:t>
              </a:r>
              <a:endParaRPr lang="en-US" sz="1200" b="1">
                <a:solidFill>
                  <a:srgbClr val="C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76200</xdr:colOff>
      <xdr:row>39</xdr:row>
      <xdr:rowOff>128553</xdr:rowOff>
    </xdr:from>
    <xdr:ext cx="976746" cy="3093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BBB17C53-5B4C-4400-88E3-E59F14B5B839}"/>
                </a:ext>
              </a:extLst>
            </xdr:cNvPr>
            <xdr:cNvSpPr txBox="1"/>
          </xdr:nvSpPr>
          <xdr:spPr>
            <a:xfrm>
              <a:off x="10201739127" y="7720844"/>
              <a:ext cx="976746" cy="3093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n-US" sz="11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d>
                        <m:dPr>
                          <m:ctrlPr>
                            <a:rPr lang="en-US" sz="11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+mn-cs"/>
                                </a:rPr>
                                <m:t>𝐾</m:t>
                              </m:r>
                            </m:e>
                            <m:sub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+mn-cs"/>
                                </a:rPr>
                                <m:t>𝐷𝑟𝑖𝑓𝑡</m:t>
                              </m:r>
                            </m:sub>
                          </m:sSub>
                        </m:e>
                      </m:d>
                    </m:e>
                    <m:sub>
                      <m:r>
                        <a:rPr lang="en-US" sz="1100" b="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Times New Roman" pitchFamily="18" charset="0"/>
                        </a:rPr>
                        <m:t>𝑋</m:t>
                      </m:r>
                    </m:sub>
                  </m:sSub>
                  <m:r>
                    <a:rPr lang="en-US" sz="110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  <a:cs typeface="Times New Roman" pitchFamily="18" charset="0"/>
                    </a:rPr>
                    <m:t> </m:t>
                  </m:r>
                  <m:r>
                    <a:rPr lang="en-US" sz="11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</m:oMath>
              </a14:m>
              <a:endParaRPr lang="en-US" sz="1100">
                <a:solidFill>
                  <a:sysClr val="windowText" lastClr="000000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BBB17C53-5B4C-4400-88E3-E59F14B5B839}"/>
                </a:ext>
              </a:extLst>
            </xdr:cNvPr>
            <xdr:cNvSpPr txBox="1"/>
          </xdr:nvSpPr>
          <xdr:spPr>
            <a:xfrm>
              <a:off x="10201739127" y="7720844"/>
              <a:ext cx="976746" cy="3093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𝐾_𝐷𝑟𝑖𝑓𝑡 )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_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𝑋</a:t>
              </a:r>
              <a:r>
                <a:rPr lang="en-US" sz="11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endParaRPr lang="en-US" sz="1100">
                <a:solidFill>
                  <a:sysClr val="windowText" lastClr="000000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103909</xdr:colOff>
      <xdr:row>42</xdr:row>
      <xdr:rowOff>121628</xdr:rowOff>
    </xdr:from>
    <xdr:ext cx="949036" cy="3093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93707829-2E1D-4674-8776-DF3711920F54}"/>
                </a:ext>
              </a:extLst>
            </xdr:cNvPr>
            <xdr:cNvSpPr txBox="1"/>
          </xdr:nvSpPr>
          <xdr:spPr>
            <a:xfrm>
              <a:off x="10201739128" y="8524410"/>
              <a:ext cx="949036" cy="3093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n-US" sz="11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d>
                        <m:dPr>
                          <m:ctrlPr>
                            <a:rPr lang="en-US" sz="11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+mn-cs"/>
                                </a:rPr>
                                <m:t>𝐾</m:t>
                              </m:r>
                            </m:e>
                            <m:sub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+mn-cs"/>
                                </a:rPr>
                                <m:t>𝐷𝑟𝑖𝑓𝑡</m:t>
                              </m:r>
                            </m:sub>
                          </m:sSub>
                        </m:e>
                      </m:d>
                    </m:e>
                    <m:sub>
                      <m:r>
                        <a:rPr lang="en-US" sz="1100" b="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Times New Roman" pitchFamily="18" charset="0"/>
                        </a:rPr>
                        <m:t>𝑌</m:t>
                      </m:r>
                    </m:sub>
                  </m:sSub>
                  <m:r>
                    <a:rPr lang="en-US" sz="110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  <a:cs typeface="Times New Roman" pitchFamily="18" charset="0"/>
                    </a:rPr>
                    <m:t> </m:t>
                  </m:r>
                  <m:r>
                    <a:rPr lang="en-US" sz="11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</m:oMath>
              </a14:m>
              <a:endParaRPr lang="en-US" sz="1100">
                <a:solidFill>
                  <a:sysClr val="windowText" lastClr="000000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93707829-2E1D-4674-8776-DF3711920F54}"/>
                </a:ext>
              </a:extLst>
            </xdr:cNvPr>
            <xdr:cNvSpPr txBox="1"/>
          </xdr:nvSpPr>
          <xdr:spPr>
            <a:xfrm>
              <a:off x="10201739128" y="8524410"/>
              <a:ext cx="949036" cy="3093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𝐾_𝐷𝑟𝑖𝑓𝑡 )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_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𝑌</a:t>
              </a:r>
              <a:r>
                <a:rPr lang="en-US" sz="11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endParaRPr lang="en-US" sz="1100">
                <a:solidFill>
                  <a:sysClr val="windowText" lastClr="000000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70659</xdr:colOff>
      <xdr:row>33</xdr:row>
      <xdr:rowOff>123013</xdr:rowOff>
    </xdr:from>
    <xdr:ext cx="1087581" cy="32816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A62446D0-3FAB-42A8-9CD3-3FA84E6FF06B}"/>
                </a:ext>
              </a:extLst>
            </xdr:cNvPr>
            <xdr:cNvSpPr txBox="1"/>
          </xdr:nvSpPr>
          <xdr:spPr>
            <a:xfrm>
              <a:off x="10219997340" y="7301053"/>
              <a:ext cx="1087581" cy="3281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400" b="1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n-US" sz="1400" b="1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r>
                        <a:rPr lang="en-US" sz="1400" b="1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+mn-cs"/>
                        </a:rPr>
                        <m:t>𝑲</m:t>
                      </m:r>
                    </m:e>
                    <m:sub>
                      <m:r>
                        <a:rPr lang="en-US" sz="1400" b="1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Times New Roman" pitchFamily="18" charset="0"/>
                        </a:rPr>
                        <m:t>𝑫𝒆𝒔𝒊𝒈𝒏</m:t>
                      </m:r>
                    </m:sub>
                  </m:sSub>
                  <m:r>
                    <a:rPr lang="en-US" sz="1400" b="1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  <a:cs typeface="Times New Roman" pitchFamily="18" charset="0"/>
                    </a:rPr>
                    <m:t> </m:t>
                  </m:r>
                  <m:r>
                    <a:rPr lang="en-US" sz="1400" b="1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</m:oMath>
              </a14:m>
              <a:endParaRPr lang="en-US" sz="1400" b="1">
                <a:solidFill>
                  <a:sysClr val="windowText" lastClr="000000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A62446D0-3FAB-42A8-9CD3-3FA84E6FF06B}"/>
                </a:ext>
              </a:extLst>
            </xdr:cNvPr>
            <xdr:cNvSpPr txBox="1"/>
          </xdr:nvSpPr>
          <xdr:spPr>
            <a:xfrm>
              <a:off x="10219997340" y="7301053"/>
              <a:ext cx="1087581" cy="3281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400" b="1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4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𝑲</a:t>
              </a:r>
              <a:r>
                <a:rPr lang="en-US" sz="1400" b="1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_</a:t>
              </a:r>
              <a:r>
                <a:rPr lang="en-US" sz="1400" b="1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𝑫𝒆𝒔𝒊𝒈𝒏</a:t>
              </a:r>
              <a:r>
                <a:rPr lang="en-US" sz="1400" b="1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 </a:t>
              </a:r>
              <a:r>
                <a:rPr lang="en-US" sz="1400" b="1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endParaRPr lang="en-US" sz="1400" b="1">
                <a:solidFill>
                  <a:sysClr val="windowText" lastClr="000000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96982</xdr:colOff>
      <xdr:row>42</xdr:row>
      <xdr:rowOff>142409</xdr:rowOff>
    </xdr:from>
    <xdr:ext cx="720437" cy="2576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TextBox 20">
              <a:extLst>
                <a:ext uri="{FF2B5EF4-FFF2-40B4-BE49-F238E27FC236}">
                  <a16:creationId xmlns:a16="http://schemas.microsoft.com/office/drawing/2014/main" id="{90E07B86-6E0C-4329-86CF-B719B0B127D3}"/>
                </a:ext>
              </a:extLst>
            </xdr:cNvPr>
            <xdr:cNvSpPr txBox="1"/>
          </xdr:nvSpPr>
          <xdr:spPr>
            <a:xfrm>
              <a:off x="10203401672" y="8545191"/>
              <a:ext cx="720437" cy="2576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>
                  <a:solidFill>
                    <a:srgbClr val="C00000"/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n-US" sz="110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r>
                        <a:rPr lang="en-US" sz="11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𝐶</m:t>
                      </m:r>
                    </m:e>
                    <m:sub>
                      <m:r>
                        <a:rPr lang="en-US" sz="11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𝑚𝑖𝑛</m:t>
                      </m:r>
                    </m:sub>
                  </m:sSub>
                  <m:r>
                    <a:rPr lang="en-US" sz="1100" i="1" baseline="0">
                      <a:solidFill>
                        <a:srgbClr val="C00000"/>
                      </a:solidFill>
                      <a:latin typeface="Cambria Math" panose="02040503050406030204" pitchFamily="18" charset="0"/>
                      <a:cs typeface="Times New Roman" pitchFamily="18" charset="0"/>
                    </a:rPr>
                    <m:t> </m:t>
                  </m:r>
                  <m:r>
                    <a:rPr lang="en-US" sz="1100" b="0" i="1" baseline="0">
                      <a:solidFill>
                        <a:srgbClr val="C00000"/>
                      </a:solidFill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US" sz="1100">
                <a:solidFill>
                  <a:srgbClr val="C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21" name="TextBox 20">
              <a:extLst>
                <a:ext uri="{FF2B5EF4-FFF2-40B4-BE49-F238E27FC236}">
                  <a16:creationId xmlns:a16="http://schemas.microsoft.com/office/drawing/2014/main" id="{90E07B86-6E0C-4329-86CF-B719B0B127D3}"/>
                </a:ext>
              </a:extLst>
            </xdr:cNvPr>
            <xdr:cNvSpPr txBox="1"/>
          </xdr:nvSpPr>
          <xdr:spPr>
            <a:xfrm>
              <a:off x="10203401672" y="8545191"/>
              <a:ext cx="720437" cy="2576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>
                  <a:solidFill>
                    <a:srgbClr val="C00000"/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:r>
                <a:rPr lang="en-US" sz="1100" b="0" i="0">
                  <a:solidFill>
                    <a:srgbClr val="C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𝐶_𝑚𝑖𝑛</a:t>
              </a:r>
              <a:r>
                <a:rPr lang="en-US" sz="1100" b="0" i="0" baseline="0">
                  <a:solidFill>
                    <a:srgbClr val="C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i="0" baseline="0">
                  <a:solidFill>
                    <a:srgbClr val="C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b="0" i="0" baseline="0">
                  <a:solidFill>
                    <a:srgbClr val="C00000"/>
                  </a:solidFill>
                  <a:latin typeface="Cambria Math" panose="02040503050406030204" pitchFamily="18" charset="0"/>
                </a:rPr>
                <a:t>=</a:t>
              </a:r>
              <a:endParaRPr lang="en-US" sz="1100">
                <a:solidFill>
                  <a:srgbClr val="C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27</xdr:col>
      <xdr:colOff>76199</xdr:colOff>
      <xdr:row>37</xdr:row>
      <xdr:rowOff>240775</xdr:rowOff>
    </xdr:from>
    <xdr:ext cx="734290" cy="2576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623EBF6F-9E7C-4DBE-83CA-254DCBC23550}"/>
                </a:ext>
              </a:extLst>
            </xdr:cNvPr>
            <xdr:cNvSpPr txBox="1"/>
          </xdr:nvSpPr>
          <xdr:spPr>
            <a:xfrm>
              <a:off x="10217807631" y="8165575"/>
              <a:ext cx="734290" cy="2576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n-US" sz="1100" i="1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d>
                        <m:dPr>
                          <m:ctrlPr>
                            <a:rPr lang="en-US" sz="1100" i="1">
                              <a:solidFill>
                                <a:schemeClr val="tx1">
                                  <a:lumMod val="65000"/>
                                  <a:lumOff val="35000"/>
                                </a:schemeClr>
                              </a:solidFill>
                              <a:latin typeface="Cambria Math" panose="02040503050406030204" pitchFamily="18" charset="0"/>
                              <a:cs typeface="Times New Roman" pitchFamily="18" charset="0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n-US" sz="1100" i="1">
                                  <a:solidFill>
                                    <a:schemeClr val="tx1">
                                      <a:lumMod val="65000"/>
                                      <a:lumOff val="35000"/>
                                    </a:schemeClr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</m:ctrlPr>
                            </m:sSubPr>
                            <m:e>
                              <m:r>
                                <a:rPr lang="en-US" sz="1100" b="0" i="1">
                                  <a:solidFill>
                                    <a:schemeClr val="tx1">
                                      <a:lumMod val="65000"/>
                                      <a:lumOff val="35000"/>
                                    </a:schemeClr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  <m:t>𝐵</m:t>
                              </m:r>
                            </m:e>
                            <m:sub>
                              <m:r>
                                <a:rPr lang="en-US" sz="1100" b="0" i="1">
                                  <a:solidFill>
                                    <a:schemeClr val="tx1">
                                      <a:lumMod val="65000"/>
                                      <a:lumOff val="35000"/>
                                    </a:schemeClr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  <m:t>1</m:t>
                              </m:r>
                            </m:sub>
                          </m:sSub>
                        </m:e>
                      </m:d>
                    </m:e>
                    <m:sub>
                      <m:r>
                        <a:rPr lang="en-US" sz="1100" b="0" i="1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𝑋</m:t>
                      </m:r>
                    </m:sub>
                  </m:sSub>
                  <m:r>
                    <a:rPr lang="en-US" sz="1100" i="1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ambria Math" panose="02040503050406030204" pitchFamily="18" charset="0"/>
                      <a:cs typeface="Times New Roman" pitchFamily="18" charset="0"/>
                    </a:rPr>
                    <m:t> </m:t>
                  </m:r>
                  <m:r>
                    <a:rPr lang="en-US" sz="1100" b="0" i="1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US" sz="110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623EBF6F-9E7C-4DBE-83CA-254DCBC23550}"/>
                </a:ext>
              </a:extLst>
            </xdr:cNvPr>
            <xdr:cNvSpPr txBox="1"/>
          </xdr:nvSpPr>
          <xdr:spPr>
            <a:xfrm>
              <a:off x="10217807631" y="8165575"/>
              <a:ext cx="734290" cy="2576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:r>
                <a:rPr lang="en-US" sz="1100" i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(</a:t>
              </a:r>
              <a:r>
                <a:rPr lang="en-US" sz="1100" b="0" i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𝐵_1 )_𝑋</a:t>
              </a:r>
              <a:r>
                <a:rPr lang="en-US" sz="1100" b="0" i="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i="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b="0" i="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</a:rPr>
                <a:t>=</a:t>
              </a:r>
              <a:endParaRPr lang="en-US" sz="110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18</xdr:col>
      <xdr:colOff>72735</xdr:colOff>
      <xdr:row>37</xdr:row>
      <xdr:rowOff>240083</xdr:rowOff>
    </xdr:from>
    <xdr:ext cx="734290" cy="2576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895EFB6E-7D00-4029-8651-9E0A2EF38578}"/>
                </a:ext>
              </a:extLst>
            </xdr:cNvPr>
            <xdr:cNvSpPr txBox="1"/>
          </xdr:nvSpPr>
          <xdr:spPr>
            <a:xfrm>
              <a:off x="10219495115" y="8164883"/>
              <a:ext cx="734290" cy="2576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n-US" sz="1100" i="1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r>
                        <a:rPr lang="en-US" sz="1100" i="1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𝑁</m:t>
                      </m:r>
                    </m:e>
                    <m:sub>
                      <m:r>
                        <a:rPr lang="en-US" sz="1100" b="0" i="1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𝑋</m:t>
                      </m:r>
                    </m:sub>
                  </m:sSub>
                  <m:r>
                    <a:rPr lang="en-US" sz="1100" i="1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ambria Math" panose="02040503050406030204" pitchFamily="18" charset="0"/>
                      <a:cs typeface="Times New Roman" pitchFamily="18" charset="0"/>
                    </a:rPr>
                    <m:t> </m:t>
                  </m:r>
                  <m:r>
                    <a:rPr lang="en-US" sz="1100" b="0" i="1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US" sz="110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895EFB6E-7D00-4029-8651-9E0A2EF38578}"/>
                </a:ext>
              </a:extLst>
            </xdr:cNvPr>
            <xdr:cNvSpPr txBox="1"/>
          </xdr:nvSpPr>
          <xdr:spPr>
            <a:xfrm>
              <a:off x="10219495115" y="8164883"/>
              <a:ext cx="734290" cy="2576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:r>
                <a:rPr lang="en-US" sz="1100" i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𝑁_</a:t>
              </a:r>
              <a:r>
                <a:rPr lang="en-US" sz="1100" b="0" i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𝑋</a:t>
              </a:r>
              <a:r>
                <a:rPr lang="en-US" sz="1100" b="0" i="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i="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b="0" i="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</a:rPr>
                <a:t>=</a:t>
              </a:r>
              <a:endParaRPr lang="en-US" sz="110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90746</xdr:colOff>
      <xdr:row>37</xdr:row>
      <xdr:rowOff>233155</xdr:rowOff>
    </xdr:from>
    <xdr:ext cx="1170707" cy="2576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F3590D65-6A90-43D9-85BB-1690531041A5}"/>
                </a:ext>
              </a:extLst>
            </xdr:cNvPr>
            <xdr:cNvSpPr txBox="1"/>
          </xdr:nvSpPr>
          <xdr:spPr>
            <a:xfrm>
              <a:off x="10220831387" y="8157955"/>
              <a:ext cx="1170707" cy="2576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n-US" sz="1100" b="0" i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ambria Math" panose="02040503050406030204" pitchFamily="18" charset="0"/>
                      <a:cs typeface="Times New Roman" pitchFamily="18" charset="0"/>
                    </a:rPr>
                    <m:t>B</m:t>
                  </m:r>
                  <m:r>
                    <a:rPr lang="en-US" sz="1100" b="0" i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ambria Math" panose="02040503050406030204" pitchFamily="18" charset="0"/>
                      <a:cs typeface="Times New Roman" pitchFamily="18" charset="0"/>
                    </a:rPr>
                    <m:t>=</m:t>
                  </m:r>
                  <m:sSub>
                    <m:sSubPr>
                      <m:ctrlPr>
                        <a:rPr lang="en-US" sz="1100" i="1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d>
                        <m:dPr>
                          <m:ctrlPr>
                            <a:rPr lang="en-US" sz="1100" i="1">
                              <a:solidFill>
                                <a:schemeClr val="tx1">
                                  <a:lumMod val="65000"/>
                                  <a:lumOff val="35000"/>
                                </a:schemeClr>
                              </a:solidFill>
                              <a:latin typeface="Cambria Math" panose="02040503050406030204" pitchFamily="18" charset="0"/>
                              <a:cs typeface="Times New Roman" pitchFamily="18" charset="0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n-US" sz="1100" i="1">
                                  <a:solidFill>
                                    <a:schemeClr val="tx1">
                                      <a:lumMod val="65000"/>
                                      <a:lumOff val="35000"/>
                                    </a:schemeClr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</m:ctrlPr>
                            </m:sSubPr>
                            <m:e>
                              <m:r>
                                <a:rPr lang="en-US" sz="1100" b="0" i="1">
                                  <a:solidFill>
                                    <a:schemeClr val="tx1">
                                      <a:lumMod val="65000"/>
                                      <a:lumOff val="35000"/>
                                    </a:schemeClr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  <m:t>𝐵</m:t>
                              </m:r>
                            </m:e>
                            <m:sub>
                              <m:r>
                                <a:rPr lang="en-US" sz="1100" b="0" i="1">
                                  <a:solidFill>
                                    <a:schemeClr val="tx1">
                                      <a:lumMod val="65000"/>
                                      <a:lumOff val="35000"/>
                                    </a:schemeClr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  <m:t>1</m:t>
                              </m:r>
                            </m:sub>
                          </m:sSub>
                        </m:e>
                      </m:d>
                    </m:e>
                    <m:sub>
                      <m:r>
                        <a:rPr lang="en-US" sz="1100" b="0" i="1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𝑋</m:t>
                      </m:r>
                    </m:sub>
                  </m:sSub>
                  <m:sSub>
                    <m:sSubPr>
                      <m:ctrlPr>
                        <a:rPr lang="en-US" sz="1100" b="0" i="1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r>
                        <a:rPr lang="en-US" sz="1100" b="0" i="1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𝑁</m:t>
                      </m:r>
                    </m:e>
                    <m:sub>
                      <m:r>
                        <a:rPr lang="en-US" sz="1100" b="0" i="1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𝑋</m:t>
                      </m:r>
                    </m:sub>
                  </m:sSub>
                  <m:r>
                    <a:rPr lang="en-US" sz="1100" i="1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ambria Math" panose="02040503050406030204" pitchFamily="18" charset="0"/>
                      <a:cs typeface="Times New Roman" pitchFamily="18" charset="0"/>
                    </a:rPr>
                    <m:t> </m:t>
                  </m:r>
                  <m:r>
                    <a:rPr lang="en-US" sz="1100" b="0" i="1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US" sz="110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F3590D65-6A90-43D9-85BB-1690531041A5}"/>
                </a:ext>
              </a:extLst>
            </xdr:cNvPr>
            <xdr:cNvSpPr txBox="1"/>
          </xdr:nvSpPr>
          <xdr:spPr>
            <a:xfrm>
              <a:off x="10220831387" y="8157955"/>
              <a:ext cx="1170707" cy="2576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:r>
                <a:rPr lang="en-US" sz="1100" b="0" i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B=</a:t>
              </a:r>
              <a:r>
                <a:rPr lang="en-US" sz="1100" i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(</a:t>
              </a:r>
              <a:r>
                <a:rPr lang="en-US" sz="1100" b="0" i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𝐵_1 )_𝑋 𝑁_𝑋</a:t>
              </a:r>
              <a:r>
                <a:rPr lang="en-US" sz="1100" b="0" i="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i="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b="0" i="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</a:rPr>
                <a:t>=</a:t>
              </a:r>
              <a:endParaRPr lang="en-US" sz="110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105984</xdr:colOff>
      <xdr:row>40</xdr:row>
      <xdr:rowOff>262942</xdr:rowOff>
    </xdr:from>
    <xdr:ext cx="1170707" cy="2576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3142FCA6-41FA-4F84-9B8E-D618107205BB}"/>
                </a:ext>
              </a:extLst>
            </xdr:cNvPr>
            <xdr:cNvSpPr txBox="1"/>
          </xdr:nvSpPr>
          <xdr:spPr>
            <a:xfrm>
              <a:off x="10220816149" y="8942122"/>
              <a:ext cx="1170707" cy="2576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n-US" sz="1100" b="0" i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ambria Math" panose="02040503050406030204" pitchFamily="18" charset="0"/>
                      <a:cs typeface="Times New Roman" pitchFamily="18" charset="0"/>
                    </a:rPr>
                    <m:t>B</m:t>
                  </m:r>
                  <m:r>
                    <a:rPr lang="en-US" sz="1100" b="0" i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ambria Math" panose="02040503050406030204" pitchFamily="18" charset="0"/>
                      <a:cs typeface="Times New Roman" pitchFamily="18" charset="0"/>
                    </a:rPr>
                    <m:t>=</m:t>
                  </m:r>
                  <m:sSub>
                    <m:sSubPr>
                      <m:ctrlPr>
                        <a:rPr lang="en-US" sz="1100" i="1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d>
                        <m:dPr>
                          <m:ctrlPr>
                            <a:rPr lang="en-US" sz="1100" i="1">
                              <a:solidFill>
                                <a:schemeClr val="tx1">
                                  <a:lumMod val="65000"/>
                                  <a:lumOff val="35000"/>
                                </a:schemeClr>
                              </a:solidFill>
                              <a:latin typeface="Cambria Math" panose="02040503050406030204" pitchFamily="18" charset="0"/>
                              <a:cs typeface="Times New Roman" pitchFamily="18" charset="0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n-US" sz="1100" i="1">
                                  <a:solidFill>
                                    <a:schemeClr val="tx1">
                                      <a:lumMod val="65000"/>
                                      <a:lumOff val="35000"/>
                                    </a:schemeClr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</m:ctrlPr>
                            </m:sSubPr>
                            <m:e>
                              <m:r>
                                <a:rPr lang="en-US" sz="1100" b="0" i="1">
                                  <a:solidFill>
                                    <a:schemeClr val="tx1">
                                      <a:lumMod val="65000"/>
                                      <a:lumOff val="35000"/>
                                    </a:schemeClr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  <m:t>𝐵</m:t>
                              </m:r>
                            </m:e>
                            <m:sub>
                              <m:r>
                                <a:rPr lang="en-US" sz="1100" b="0" i="1">
                                  <a:solidFill>
                                    <a:schemeClr val="tx1">
                                      <a:lumMod val="65000"/>
                                      <a:lumOff val="35000"/>
                                    </a:schemeClr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  <m:t>1</m:t>
                              </m:r>
                            </m:sub>
                          </m:sSub>
                        </m:e>
                      </m:d>
                    </m:e>
                    <m:sub>
                      <m:r>
                        <a:rPr lang="en-US" sz="1100" b="0" i="1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𝑌</m:t>
                      </m:r>
                    </m:sub>
                  </m:sSub>
                  <m:sSub>
                    <m:sSubPr>
                      <m:ctrlPr>
                        <a:rPr lang="en-US" sz="1100" b="0" i="1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r>
                        <a:rPr lang="en-US" sz="1100" b="0" i="1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𝑁</m:t>
                      </m:r>
                    </m:e>
                    <m:sub>
                      <m:r>
                        <a:rPr lang="en-US" sz="1100" b="0" i="1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𝑌</m:t>
                      </m:r>
                    </m:sub>
                  </m:sSub>
                  <m:r>
                    <a:rPr lang="en-US" sz="1100" i="1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ambria Math" panose="02040503050406030204" pitchFamily="18" charset="0"/>
                      <a:cs typeface="Times New Roman" pitchFamily="18" charset="0"/>
                    </a:rPr>
                    <m:t> </m:t>
                  </m:r>
                  <m:r>
                    <a:rPr lang="en-US" sz="1100" b="0" i="1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US" sz="110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3142FCA6-41FA-4F84-9B8E-D618107205BB}"/>
                </a:ext>
              </a:extLst>
            </xdr:cNvPr>
            <xdr:cNvSpPr txBox="1"/>
          </xdr:nvSpPr>
          <xdr:spPr>
            <a:xfrm>
              <a:off x="10220816149" y="8942122"/>
              <a:ext cx="1170707" cy="2576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:r>
                <a:rPr lang="en-US" sz="1100" b="0" i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B=</a:t>
              </a:r>
              <a:r>
                <a:rPr lang="en-US" sz="1100" i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(</a:t>
              </a:r>
              <a:r>
                <a:rPr lang="en-US" sz="1100" b="0" i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𝐵_1 )_𝑌 𝑁_𝑌</a:t>
              </a:r>
              <a:r>
                <a:rPr lang="en-US" sz="1100" b="0" i="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i="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b="0" i="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</a:rPr>
                <a:t>=</a:t>
              </a:r>
              <a:endParaRPr lang="en-US" sz="110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18</xdr:col>
      <xdr:colOff>50567</xdr:colOff>
      <xdr:row>40</xdr:row>
      <xdr:rowOff>240083</xdr:rowOff>
    </xdr:from>
    <xdr:ext cx="734290" cy="2576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7C1AC694-1E2C-4C56-AAE0-3CC07749E31E}"/>
                </a:ext>
              </a:extLst>
            </xdr:cNvPr>
            <xdr:cNvSpPr txBox="1"/>
          </xdr:nvSpPr>
          <xdr:spPr>
            <a:xfrm>
              <a:off x="10219517283" y="8919263"/>
              <a:ext cx="734290" cy="2576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n-US" sz="1100" i="1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r>
                        <a:rPr lang="en-US" sz="1100" i="1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𝑁</m:t>
                      </m:r>
                    </m:e>
                    <m:sub>
                      <m:r>
                        <a:rPr lang="en-US" sz="1100" b="0" i="1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𝑌</m:t>
                      </m:r>
                    </m:sub>
                  </m:sSub>
                  <m:r>
                    <a:rPr lang="en-US" sz="1100" i="1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ambria Math" panose="02040503050406030204" pitchFamily="18" charset="0"/>
                      <a:cs typeface="Times New Roman" pitchFamily="18" charset="0"/>
                    </a:rPr>
                    <m:t> </m:t>
                  </m:r>
                  <m:r>
                    <a:rPr lang="en-US" sz="1100" b="0" i="1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US" sz="110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7C1AC694-1E2C-4C56-AAE0-3CC07749E31E}"/>
                </a:ext>
              </a:extLst>
            </xdr:cNvPr>
            <xdr:cNvSpPr txBox="1"/>
          </xdr:nvSpPr>
          <xdr:spPr>
            <a:xfrm>
              <a:off x="10219517283" y="8919263"/>
              <a:ext cx="734290" cy="2576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:r>
                <a:rPr lang="en-US" sz="1100" i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𝑁_</a:t>
              </a:r>
              <a:r>
                <a:rPr lang="en-US" sz="1100" b="0" i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𝑌</a:t>
              </a:r>
              <a:r>
                <a:rPr lang="en-US" sz="1100" b="0" i="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i="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b="0" i="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</a:rPr>
                <a:t>=</a:t>
              </a:r>
              <a:endParaRPr lang="en-US" sz="110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27</xdr:col>
      <xdr:colOff>76890</xdr:colOff>
      <xdr:row>40</xdr:row>
      <xdr:rowOff>262249</xdr:rowOff>
    </xdr:from>
    <xdr:ext cx="734290" cy="2576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EE7ED0E0-8EE3-4D7C-9684-D1678B2B7EA0}"/>
                </a:ext>
              </a:extLst>
            </xdr:cNvPr>
            <xdr:cNvSpPr txBox="1"/>
          </xdr:nvSpPr>
          <xdr:spPr>
            <a:xfrm>
              <a:off x="10217806940" y="8941429"/>
              <a:ext cx="734290" cy="2576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n-US" sz="1100" i="1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d>
                        <m:dPr>
                          <m:ctrlPr>
                            <a:rPr lang="en-US" sz="1100" i="1">
                              <a:solidFill>
                                <a:schemeClr val="tx1">
                                  <a:lumMod val="65000"/>
                                  <a:lumOff val="35000"/>
                                </a:schemeClr>
                              </a:solidFill>
                              <a:latin typeface="Cambria Math" panose="02040503050406030204" pitchFamily="18" charset="0"/>
                              <a:cs typeface="Times New Roman" pitchFamily="18" charset="0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n-US" sz="1100" i="1">
                                  <a:solidFill>
                                    <a:schemeClr val="tx1">
                                      <a:lumMod val="65000"/>
                                      <a:lumOff val="35000"/>
                                    </a:schemeClr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</m:ctrlPr>
                            </m:sSubPr>
                            <m:e>
                              <m:r>
                                <a:rPr lang="en-US" sz="1100" b="0" i="1">
                                  <a:solidFill>
                                    <a:schemeClr val="tx1">
                                      <a:lumMod val="65000"/>
                                      <a:lumOff val="35000"/>
                                    </a:schemeClr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  <m:t>𝐵</m:t>
                              </m:r>
                            </m:e>
                            <m:sub>
                              <m:r>
                                <a:rPr lang="en-US" sz="1100" b="0" i="1">
                                  <a:solidFill>
                                    <a:schemeClr val="tx1">
                                      <a:lumMod val="65000"/>
                                      <a:lumOff val="35000"/>
                                    </a:schemeClr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  <m:t>1</m:t>
                              </m:r>
                            </m:sub>
                          </m:sSub>
                        </m:e>
                      </m:d>
                    </m:e>
                    <m:sub>
                      <m:r>
                        <a:rPr lang="en-US" sz="1100" b="0" i="1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𝑌</m:t>
                      </m:r>
                    </m:sub>
                  </m:sSub>
                  <m:r>
                    <a:rPr lang="en-US" sz="1100" i="1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ambria Math" panose="02040503050406030204" pitchFamily="18" charset="0"/>
                      <a:cs typeface="Times New Roman" pitchFamily="18" charset="0"/>
                    </a:rPr>
                    <m:t> </m:t>
                  </m:r>
                  <m:r>
                    <a:rPr lang="en-US" sz="1100" b="0" i="1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US" sz="110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EE7ED0E0-8EE3-4D7C-9684-D1678B2B7EA0}"/>
                </a:ext>
              </a:extLst>
            </xdr:cNvPr>
            <xdr:cNvSpPr txBox="1"/>
          </xdr:nvSpPr>
          <xdr:spPr>
            <a:xfrm>
              <a:off x="10217806940" y="8941429"/>
              <a:ext cx="734290" cy="2576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:r>
                <a:rPr lang="en-US" sz="1100" i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(</a:t>
              </a:r>
              <a:r>
                <a:rPr lang="en-US" sz="1100" b="0" i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𝐵_1 )_𝑌</a:t>
              </a:r>
              <a:r>
                <a:rPr lang="en-US" sz="1100" b="0" i="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i="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b="0" i="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mbria Math" panose="02040503050406030204" pitchFamily="18" charset="0"/>
                </a:rPr>
                <a:t>=</a:t>
              </a:r>
              <a:endParaRPr lang="en-US" sz="110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twoCellAnchor>
    <xdr:from>
      <xdr:col>43</xdr:col>
      <xdr:colOff>616528</xdr:colOff>
      <xdr:row>4</xdr:row>
      <xdr:rowOff>131617</xdr:rowOff>
    </xdr:from>
    <xdr:to>
      <xdr:col>54</xdr:col>
      <xdr:colOff>41564</xdr:colOff>
      <xdr:row>15</xdr:row>
      <xdr:rowOff>117763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65E7F946-40FB-2CA4-4AF5-7FF5090465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616527</xdr:colOff>
      <xdr:row>16</xdr:row>
      <xdr:rowOff>62347</xdr:rowOff>
    </xdr:from>
    <xdr:to>
      <xdr:col>54</xdr:col>
      <xdr:colOff>20782</xdr:colOff>
      <xdr:row>29</xdr:row>
      <xdr:rowOff>27710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A2B0DF-1AC2-E3B9-C706-F01E3BE4CA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0.17288</cdr:x>
      <cdr:y>0.66468</cdr:y>
    </cdr:from>
    <cdr:to>
      <cdr:x>0.99692</cdr:x>
      <cdr:y>0.86274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5D673A9-2705-963C-1D8D-0F26B1629BA9}"/>
            </a:ext>
          </a:extLst>
        </cdr:cNvPr>
        <cdr:cNvSpPr txBox="1"/>
      </cdr:nvSpPr>
      <cdr:spPr>
        <a:xfrm xmlns:a="http://schemas.openxmlformats.org/drawingml/2006/main" rot="16200000">
          <a:off x="2250554" y="130805"/>
          <a:ext cx="489831" cy="3515759"/>
        </a:xfrm>
        <a:prstGeom xmlns:a="http://schemas.openxmlformats.org/drawingml/2006/main" prst="rect">
          <a:avLst/>
        </a:prstGeom>
        <a:solidFill xmlns:a="http://schemas.openxmlformats.org/drawingml/2006/main">
          <a:srgbClr val="2C2C2C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0.00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0.25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0.50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0.75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1.00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1.25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1.50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1.75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2.00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2.25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2.50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2.75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3.00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0.155</cdr:x>
      <cdr:y>0.74525</cdr:y>
    </cdr:from>
    <cdr:to>
      <cdr:x>1</cdr:x>
      <cdr:y>0.91168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26B416F-3576-DBD7-13BB-A6FC978E2E15}"/>
            </a:ext>
          </a:extLst>
        </cdr:cNvPr>
        <cdr:cNvSpPr txBox="1"/>
      </cdr:nvSpPr>
      <cdr:spPr>
        <a:xfrm xmlns:a="http://schemas.openxmlformats.org/drawingml/2006/main" rot="16200000">
          <a:off x="2235157" y="364046"/>
          <a:ext cx="433504" cy="3587633"/>
        </a:xfrm>
        <a:prstGeom xmlns:a="http://schemas.openxmlformats.org/drawingml/2006/main" prst="rect">
          <a:avLst/>
        </a:prstGeom>
        <a:solidFill xmlns:a="http://schemas.openxmlformats.org/drawingml/2006/main">
          <a:srgbClr val="2C2C2C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0.00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0.25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0.50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0.75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1.00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1.25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1.50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1.75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2.00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2.25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2.50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2.75</a:t>
          </a:r>
        </a:p>
        <a:p xmlns:a="http://schemas.openxmlformats.org/drawingml/2006/main">
          <a:pPr algn="r">
            <a:lnSpc>
              <a:spcPct val="200000"/>
            </a:lnSpc>
          </a:pPr>
          <a:r>
            <a:rPr lang="en-US" sz="900" b="0" kern="1200">
              <a:solidFill>
                <a:schemeClr val="bg1">
                  <a:lumMod val="8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3.00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58494</xdr:colOff>
      <xdr:row>4</xdr:row>
      <xdr:rowOff>32367</xdr:rowOff>
    </xdr:from>
    <xdr:to>
      <xdr:col>40</xdr:col>
      <xdr:colOff>76198</xdr:colOff>
      <xdr:row>8</xdr:row>
      <xdr:rowOff>137710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928FA2-A818-46B7-894E-28BC1A0897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26" r="12751"/>
        <a:stretch/>
      </xdr:blipFill>
      <xdr:spPr>
        <a:xfrm>
          <a:off x="2513880335" y="1251567"/>
          <a:ext cx="779704" cy="71494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oneCellAnchor>
    <xdr:from>
      <xdr:col>39</xdr:col>
      <xdr:colOff>63731</xdr:colOff>
      <xdr:row>42</xdr:row>
      <xdr:rowOff>68579</xdr:rowOff>
    </xdr:from>
    <xdr:ext cx="277786" cy="1766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B0FFC2C1-09FB-4FA3-9F14-3E2B3D39D06C}"/>
                </a:ext>
              </a:extLst>
            </xdr:cNvPr>
            <xdr:cNvSpPr txBox="1"/>
          </xdr:nvSpPr>
          <xdr:spPr>
            <a:xfrm>
              <a:off x="2512140123" y="5402579"/>
              <a:ext cx="277786" cy="1766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𝑇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𝑥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B0FFC2C1-09FB-4FA3-9F14-3E2B3D39D06C}"/>
                </a:ext>
              </a:extLst>
            </xdr:cNvPr>
            <xdr:cNvSpPr txBox="1"/>
          </xdr:nvSpPr>
          <xdr:spPr>
            <a:xfrm>
              <a:off x="2512140123" y="5402579"/>
              <a:ext cx="277786" cy="1766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:r>
                <a:rPr lang="en-US" sz="1100" b="0" i="0">
                  <a:latin typeface="Cambria Math" panose="02040503050406030204" pitchFamily="18" charset="0"/>
                </a:rPr>
                <a:t>𝑇_𝑥=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28</xdr:col>
      <xdr:colOff>144703</xdr:colOff>
      <xdr:row>42</xdr:row>
      <xdr:rowOff>78816</xdr:rowOff>
    </xdr:from>
    <xdr:ext cx="292338" cy="18293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22605DDE-BB18-459B-B1CF-9E0A6A12218F}"/>
                </a:ext>
              </a:extLst>
            </xdr:cNvPr>
            <xdr:cNvSpPr txBox="1"/>
          </xdr:nvSpPr>
          <xdr:spPr>
            <a:xfrm>
              <a:off x="2518591026" y="6479616"/>
              <a:ext cx="292338" cy="1829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𝑇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𝑦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22605DDE-BB18-459B-B1CF-9E0A6A12218F}"/>
                </a:ext>
              </a:extLst>
            </xdr:cNvPr>
            <xdr:cNvSpPr txBox="1"/>
          </xdr:nvSpPr>
          <xdr:spPr>
            <a:xfrm>
              <a:off x="2518591026" y="6479616"/>
              <a:ext cx="292338" cy="1829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:r>
                <a:rPr lang="en-US" sz="1100" b="0" i="0">
                  <a:latin typeface="Cambria Math" panose="02040503050406030204" pitchFamily="18" charset="0"/>
                </a:rPr>
                <a:t>𝑇_𝑦=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6</xdr:col>
      <xdr:colOff>127001</xdr:colOff>
      <xdr:row>52</xdr:row>
      <xdr:rowOff>115856</xdr:rowOff>
    </xdr:from>
    <xdr:ext cx="725211" cy="27276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F90054FE-66EB-48DB-9967-1DB37F7254EE}"/>
                </a:ext>
              </a:extLst>
            </xdr:cNvPr>
            <xdr:cNvSpPr txBox="1"/>
          </xdr:nvSpPr>
          <xdr:spPr>
            <a:xfrm>
              <a:off x="2518438321" y="7735856"/>
              <a:ext cx="725211" cy="2727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200">
                  <a:solidFill>
                    <a:srgbClr val="C00000"/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n-US" sz="120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r>
                        <a:rPr lang="en-US" sz="12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𝐶</m:t>
                      </m:r>
                    </m:e>
                    <m:sub>
                      <m:r>
                        <a:rPr lang="en-US" sz="12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𝑚𝑖𝑛</m:t>
                      </m:r>
                    </m:sub>
                  </m:sSub>
                  <m:r>
                    <a:rPr lang="en-US" sz="1200" i="1" baseline="0">
                      <a:solidFill>
                        <a:srgbClr val="C00000"/>
                      </a:solidFill>
                      <a:latin typeface="Cambria Math" panose="02040503050406030204" pitchFamily="18" charset="0"/>
                      <a:cs typeface="Times New Roman" pitchFamily="18" charset="0"/>
                    </a:rPr>
                    <m:t> </m:t>
                  </m:r>
                  <m:r>
                    <a:rPr lang="en-US" sz="1200" b="0" i="1" baseline="0">
                      <a:solidFill>
                        <a:srgbClr val="C00000"/>
                      </a:solidFill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US" sz="1200">
                <a:solidFill>
                  <a:srgbClr val="C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F90054FE-66EB-48DB-9967-1DB37F7254EE}"/>
                </a:ext>
              </a:extLst>
            </xdr:cNvPr>
            <xdr:cNvSpPr txBox="1"/>
          </xdr:nvSpPr>
          <xdr:spPr>
            <a:xfrm>
              <a:off x="2518438321" y="7735856"/>
              <a:ext cx="725211" cy="2727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200">
                  <a:solidFill>
                    <a:srgbClr val="C00000"/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:r>
                <a:rPr lang="en-US" sz="1200" b="0" i="0">
                  <a:solidFill>
                    <a:srgbClr val="C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𝐶_𝑚𝑖𝑛</a:t>
              </a:r>
              <a:r>
                <a:rPr lang="en-US" sz="1200" b="0" i="0" baseline="0">
                  <a:solidFill>
                    <a:srgbClr val="C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i="0" baseline="0">
                  <a:solidFill>
                    <a:srgbClr val="C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b="0" i="0" baseline="0">
                  <a:solidFill>
                    <a:srgbClr val="C00000"/>
                  </a:solidFill>
                  <a:latin typeface="Cambria Math" panose="02040503050406030204" pitchFamily="18" charset="0"/>
                </a:rPr>
                <a:t>=</a:t>
              </a:r>
              <a:endParaRPr lang="en-US" sz="1200">
                <a:solidFill>
                  <a:srgbClr val="C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76200</xdr:colOff>
      <xdr:row>52</xdr:row>
      <xdr:rowOff>84668</xdr:rowOff>
    </xdr:from>
    <xdr:ext cx="939800" cy="326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368E3677-AC89-420A-815B-BC28483415CA}"/>
                </a:ext>
              </a:extLst>
            </xdr:cNvPr>
            <xdr:cNvSpPr txBox="1"/>
          </xdr:nvSpPr>
          <xdr:spPr>
            <a:xfrm>
              <a:off x="2517377067" y="8432801"/>
              <a:ext cx="939800" cy="326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ctr" rtl="0"/>
              <a:r>
                <a:rPr lang="en-US" sz="1200" b="1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n-US" sz="1200" b="1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r>
                        <a:rPr lang="en-US" sz="1200" b="1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+mn-cs"/>
                        </a:rPr>
                        <m:t>𝑲</m:t>
                      </m:r>
                    </m:e>
                    <m:sub>
                      <m:r>
                        <a:rPr lang="en-US" sz="1200" b="1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Times New Roman" pitchFamily="18" charset="0"/>
                        </a:rPr>
                        <m:t>𝑫𝒆𝒔𝒊𝒈𝒏</m:t>
                      </m:r>
                    </m:sub>
                  </m:sSub>
                  <m:r>
                    <a:rPr lang="en-US" sz="1200" b="1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  <a:cs typeface="Times New Roman" pitchFamily="18" charset="0"/>
                    </a:rPr>
                    <m:t> </m:t>
                  </m:r>
                  <m:r>
                    <a:rPr lang="en-US" sz="1200" b="1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</m:oMath>
              </a14:m>
              <a:endParaRPr lang="en-US" sz="1200" b="1">
                <a:solidFill>
                  <a:sysClr val="windowText" lastClr="000000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368E3677-AC89-420A-815B-BC28483415CA}"/>
                </a:ext>
              </a:extLst>
            </xdr:cNvPr>
            <xdr:cNvSpPr txBox="1"/>
          </xdr:nvSpPr>
          <xdr:spPr>
            <a:xfrm>
              <a:off x="2517377067" y="8432801"/>
              <a:ext cx="939800" cy="326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ctr" rtl="0"/>
              <a:r>
                <a:rPr lang="en-US" sz="1200" b="1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𝑲</a:t>
              </a:r>
              <a:r>
                <a:rPr lang="en-US" sz="1200" b="1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_</a:t>
              </a:r>
              <a:r>
                <a:rPr lang="en-US" sz="1200" b="1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𝑫𝒆𝒔𝒊𝒈𝒏</a:t>
              </a:r>
              <a:r>
                <a:rPr lang="en-US" sz="1200" b="1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 </a:t>
              </a:r>
              <a:r>
                <a:rPr lang="en-US" sz="1200" b="1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endParaRPr lang="en-US" sz="1200" b="1">
                <a:solidFill>
                  <a:sysClr val="windowText" lastClr="000000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39</xdr:col>
      <xdr:colOff>40024</xdr:colOff>
      <xdr:row>23</xdr:row>
      <xdr:rowOff>49105</xdr:rowOff>
    </xdr:from>
    <xdr:ext cx="27778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TextBox 22">
              <a:extLst>
                <a:ext uri="{FF2B5EF4-FFF2-40B4-BE49-F238E27FC236}">
                  <a16:creationId xmlns:a16="http://schemas.microsoft.com/office/drawing/2014/main" id="{012F52D7-AC33-41E8-873F-ACB60AC64341}"/>
                </a:ext>
              </a:extLst>
            </xdr:cNvPr>
            <xdr:cNvSpPr txBox="1"/>
          </xdr:nvSpPr>
          <xdr:spPr>
            <a:xfrm>
              <a:off x="2522190057" y="3554305"/>
              <a:ext cx="27778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𝑆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𝑠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3" name="TextBox 22">
              <a:extLst>
                <a:ext uri="{FF2B5EF4-FFF2-40B4-BE49-F238E27FC236}">
                  <a16:creationId xmlns:a16="http://schemas.microsoft.com/office/drawing/2014/main" id="{012F52D7-AC33-41E8-873F-ACB60AC64341}"/>
                </a:ext>
              </a:extLst>
            </xdr:cNvPr>
            <xdr:cNvSpPr txBox="1"/>
          </xdr:nvSpPr>
          <xdr:spPr>
            <a:xfrm>
              <a:off x="2522190057" y="3554305"/>
              <a:ext cx="27778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:r>
                <a:rPr lang="en-US" sz="1100" b="0" i="0">
                  <a:latin typeface="Cambria Math" panose="02040503050406030204" pitchFamily="18" charset="0"/>
                </a:rPr>
                <a:t>𝑆_𝑠=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39</xdr:col>
      <xdr:colOff>42256</xdr:colOff>
      <xdr:row>25</xdr:row>
      <xdr:rowOff>85589</xdr:rowOff>
    </xdr:from>
    <xdr:ext cx="29233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TextBox 23">
              <a:extLst>
                <a:ext uri="{FF2B5EF4-FFF2-40B4-BE49-F238E27FC236}">
                  <a16:creationId xmlns:a16="http://schemas.microsoft.com/office/drawing/2014/main" id="{746E6808-BBF0-405D-9050-7D8A2BDD3173}"/>
                </a:ext>
              </a:extLst>
            </xdr:cNvPr>
            <xdr:cNvSpPr txBox="1"/>
          </xdr:nvSpPr>
          <xdr:spPr>
            <a:xfrm>
              <a:off x="2522173273" y="3895589"/>
              <a:ext cx="29233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𝑆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4" name="TextBox 23">
              <a:extLst>
                <a:ext uri="{FF2B5EF4-FFF2-40B4-BE49-F238E27FC236}">
                  <a16:creationId xmlns:a16="http://schemas.microsoft.com/office/drawing/2014/main" id="{746E6808-BBF0-405D-9050-7D8A2BDD3173}"/>
                </a:ext>
              </a:extLst>
            </xdr:cNvPr>
            <xdr:cNvSpPr txBox="1"/>
          </xdr:nvSpPr>
          <xdr:spPr>
            <a:xfrm>
              <a:off x="2522173273" y="3895589"/>
              <a:ext cx="29233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:r>
                <a:rPr lang="en-US" sz="1100" b="0" i="0">
                  <a:latin typeface="Cambria Math" panose="02040503050406030204" pitchFamily="18" charset="0"/>
                </a:rPr>
                <a:t>𝑆_1=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39</xdr:col>
      <xdr:colOff>31634</xdr:colOff>
      <xdr:row>81</xdr:row>
      <xdr:rowOff>67734</xdr:rowOff>
    </xdr:from>
    <xdr:ext cx="27778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TextBox 20">
              <a:extLst>
                <a:ext uri="{FF2B5EF4-FFF2-40B4-BE49-F238E27FC236}">
                  <a16:creationId xmlns:a16="http://schemas.microsoft.com/office/drawing/2014/main" id="{59667C21-2B71-4269-9B55-A480BE0B9456}"/>
                </a:ext>
              </a:extLst>
            </xdr:cNvPr>
            <xdr:cNvSpPr txBox="1"/>
          </xdr:nvSpPr>
          <xdr:spPr>
            <a:xfrm>
              <a:off x="2522198447" y="12716934"/>
              <a:ext cx="27778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𝑆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𝑠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1" name="TextBox 20">
              <a:extLst>
                <a:ext uri="{FF2B5EF4-FFF2-40B4-BE49-F238E27FC236}">
                  <a16:creationId xmlns:a16="http://schemas.microsoft.com/office/drawing/2014/main" id="{59667C21-2B71-4269-9B55-A480BE0B9456}"/>
                </a:ext>
              </a:extLst>
            </xdr:cNvPr>
            <xdr:cNvSpPr txBox="1"/>
          </xdr:nvSpPr>
          <xdr:spPr>
            <a:xfrm>
              <a:off x="2522198447" y="12716934"/>
              <a:ext cx="27778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:r>
                <a:rPr lang="en-US" sz="1100" b="0" i="0">
                  <a:latin typeface="Cambria Math" panose="02040503050406030204" pitchFamily="18" charset="0"/>
                </a:rPr>
                <a:t>𝑆_𝑠=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33</xdr:col>
      <xdr:colOff>0</xdr:colOff>
      <xdr:row>81</xdr:row>
      <xdr:rowOff>78817</xdr:rowOff>
    </xdr:from>
    <xdr:ext cx="29233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TextBox 21">
              <a:extLst>
                <a:ext uri="{FF2B5EF4-FFF2-40B4-BE49-F238E27FC236}">
                  <a16:creationId xmlns:a16="http://schemas.microsoft.com/office/drawing/2014/main" id="{79E69436-CA4E-4C99-A9CE-05ED3DDFE869}"/>
                </a:ext>
              </a:extLst>
            </xdr:cNvPr>
            <xdr:cNvSpPr txBox="1"/>
          </xdr:nvSpPr>
          <xdr:spPr>
            <a:xfrm>
              <a:off x="2523129929" y="12728017"/>
              <a:ext cx="29233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𝑆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2" name="TextBox 21">
              <a:extLst>
                <a:ext uri="{FF2B5EF4-FFF2-40B4-BE49-F238E27FC236}">
                  <a16:creationId xmlns:a16="http://schemas.microsoft.com/office/drawing/2014/main" id="{79E69436-CA4E-4C99-A9CE-05ED3DDFE869}"/>
                </a:ext>
              </a:extLst>
            </xdr:cNvPr>
            <xdr:cNvSpPr txBox="1"/>
          </xdr:nvSpPr>
          <xdr:spPr>
            <a:xfrm>
              <a:off x="2523129929" y="12728017"/>
              <a:ext cx="29233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:r>
                <a:rPr lang="en-US" sz="1100" b="0" i="0">
                  <a:latin typeface="Cambria Math" panose="02040503050406030204" pitchFamily="18" charset="0"/>
                </a:rPr>
                <a:t>𝑆_1=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39</xdr:col>
      <xdr:colOff>13087</xdr:colOff>
      <xdr:row>83</xdr:row>
      <xdr:rowOff>59268</xdr:rowOff>
    </xdr:from>
    <xdr:ext cx="27778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TextBox 24">
              <a:extLst>
                <a:ext uri="{FF2B5EF4-FFF2-40B4-BE49-F238E27FC236}">
                  <a16:creationId xmlns:a16="http://schemas.microsoft.com/office/drawing/2014/main" id="{3704604C-A01C-47CC-975C-F1081DA55573}"/>
                </a:ext>
              </a:extLst>
            </xdr:cNvPr>
            <xdr:cNvSpPr txBox="1"/>
          </xdr:nvSpPr>
          <xdr:spPr>
            <a:xfrm>
              <a:off x="2514139794" y="13809135"/>
              <a:ext cx="27778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𝑠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5" name="TextBox 24">
              <a:extLst>
                <a:ext uri="{FF2B5EF4-FFF2-40B4-BE49-F238E27FC236}">
                  <a16:creationId xmlns:a16="http://schemas.microsoft.com/office/drawing/2014/main" id="{3704604C-A01C-47CC-975C-F1081DA55573}"/>
                </a:ext>
              </a:extLst>
            </xdr:cNvPr>
            <xdr:cNvSpPr txBox="1"/>
          </xdr:nvSpPr>
          <xdr:spPr>
            <a:xfrm>
              <a:off x="2514139794" y="13809135"/>
              <a:ext cx="27778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:r>
                <a:rPr lang="en-US" sz="1100" b="0" i="0">
                  <a:latin typeface="Cambria Math" panose="02040503050406030204" pitchFamily="18" charset="0"/>
                </a:rPr>
                <a:t>𝐹_𝑠=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39</xdr:col>
      <xdr:colOff>11472</xdr:colOff>
      <xdr:row>85</xdr:row>
      <xdr:rowOff>59270</xdr:rowOff>
    </xdr:from>
    <xdr:ext cx="27778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TextBox 25">
              <a:extLst>
                <a:ext uri="{FF2B5EF4-FFF2-40B4-BE49-F238E27FC236}">
                  <a16:creationId xmlns:a16="http://schemas.microsoft.com/office/drawing/2014/main" id="{6236E140-6BB1-41D6-B5D4-6F995EBE4309}"/>
                </a:ext>
              </a:extLst>
            </xdr:cNvPr>
            <xdr:cNvSpPr txBox="1"/>
          </xdr:nvSpPr>
          <xdr:spPr>
            <a:xfrm>
              <a:off x="2513819675" y="14452603"/>
              <a:ext cx="27778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6" name="TextBox 25">
              <a:extLst>
                <a:ext uri="{FF2B5EF4-FFF2-40B4-BE49-F238E27FC236}">
                  <a16:creationId xmlns:a16="http://schemas.microsoft.com/office/drawing/2014/main" id="{6236E140-6BB1-41D6-B5D4-6F995EBE4309}"/>
                </a:ext>
              </a:extLst>
            </xdr:cNvPr>
            <xdr:cNvSpPr txBox="1"/>
          </xdr:nvSpPr>
          <xdr:spPr>
            <a:xfrm>
              <a:off x="2513819675" y="14452603"/>
              <a:ext cx="27778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:r>
                <a:rPr lang="en-US" sz="1100" b="0" i="0">
                  <a:latin typeface="Cambria Math" panose="02040503050406030204" pitchFamily="18" charset="0"/>
                </a:rPr>
                <a:t>𝐹_1=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34</xdr:col>
      <xdr:colOff>143933</xdr:colOff>
      <xdr:row>89</xdr:row>
      <xdr:rowOff>50804</xdr:rowOff>
    </xdr:from>
    <xdr:ext cx="880310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TextBox 26">
              <a:extLst>
                <a:ext uri="{FF2B5EF4-FFF2-40B4-BE49-F238E27FC236}">
                  <a16:creationId xmlns:a16="http://schemas.microsoft.com/office/drawing/2014/main" id="{7AA51087-4F89-4162-A3C7-EC53D957914F}"/>
                </a:ext>
              </a:extLst>
            </xdr:cNvPr>
            <xdr:cNvSpPr txBox="1"/>
          </xdr:nvSpPr>
          <xdr:spPr>
            <a:xfrm>
              <a:off x="2522245624" y="14224004"/>
              <a:ext cx="880310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sSub>
                          <m:sSubPr>
                            <m:ctrlPr>
                              <a:rPr lang="en-US" sz="12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1200" b="0" i="1">
                                <a:latin typeface="Cambria Math" panose="02040503050406030204" pitchFamily="18" charset="0"/>
                              </a:rPr>
                              <m:t>𝑆</m:t>
                            </m:r>
                          </m:e>
                          <m:sub>
                            <m:r>
                              <a:rPr lang="en-US" sz="1200" b="0" i="1">
                                <a:latin typeface="Cambria Math" panose="02040503050406030204" pitchFamily="18" charset="0"/>
                              </a:rPr>
                              <m:t>𝑀𝑆</m:t>
                            </m:r>
                          </m:sub>
                        </m:sSub>
                        <m:r>
                          <a:rPr lang="en-US" sz="1200" b="0" i="1">
                            <a:latin typeface="Cambria Math" panose="02040503050406030204" pitchFamily="18" charset="0"/>
                          </a:rPr>
                          <m:t>=</m:t>
                        </m:r>
                        <m:r>
                          <a:rPr lang="en-US" sz="12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en-US" sz="1200" b="0" i="1">
                            <a:latin typeface="Cambria Math" panose="02040503050406030204" pitchFamily="18" charset="0"/>
                          </a:rPr>
                          <m:t>𝑠</m:t>
                        </m:r>
                      </m:sub>
                    </m:sSub>
                    <m:sSub>
                      <m:sSubPr>
                        <m:ctrlPr>
                          <a:rPr lang="en-US" sz="12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200" b="0" i="1">
                            <a:latin typeface="Cambria Math" panose="02040503050406030204" pitchFamily="18" charset="0"/>
                          </a:rPr>
                          <m:t>𝑆</m:t>
                        </m:r>
                      </m:e>
                      <m:sub>
                        <m:r>
                          <a:rPr lang="en-US" sz="1200" b="0" i="1">
                            <a:latin typeface="Cambria Math" panose="02040503050406030204" pitchFamily="18" charset="0"/>
                          </a:rPr>
                          <m:t>𝑆</m:t>
                        </m:r>
                      </m:sub>
                    </m:sSub>
                    <m:r>
                      <a:rPr lang="en-US" sz="12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200"/>
            </a:p>
          </xdr:txBody>
        </xdr:sp>
      </mc:Choice>
      <mc:Fallback xmlns="">
        <xdr:sp macro="" textlink="">
          <xdr:nvSpPr>
            <xdr:cNvPr id="27" name="TextBox 26">
              <a:extLst>
                <a:ext uri="{FF2B5EF4-FFF2-40B4-BE49-F238E27FC236}">
                  <a16:creationId xmlns:a16="http://schemas.microsoft.com/office/drawing/2014/main" id="{7AA51087-4F89-4162-A3C7-EC53D957914F}"/>
                </a:ext>
              </a:extLst>
            </xdr:cNvPr>
            <xdr:cNvSpPr txBox="1"/>
          </xdr:nvSpPr>
          <xdr:spPr>
            <a:xfrm>
              <a:off x="2522245624" y="14224004"/>
              <a:ext cx="880310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:r>
                <a:rPr lang="en-US" sz="1200" i="0">
                  <a:latin typeface="Cambria Math" panose="02040503050406030204" pitchFamily="18" charset="0"/>
                </a:rPr>
                <a:t>〖</a:t>
              </a:r>
              <a:r>
                <a:rPr lang="en-US" sz="1200" b="0" i="0">
                  <a:latin typeface="Cambria Math" panose="02040503050406030204" pitchFamily="18" charset="0"/>
                </a:rPr>
                <a:t>𝑆_𝑀𝑆=𝐹〗_𝑠 𝑆_𝑆=</a:t>
              </a:r>
              <a:endParaRPr lang="en-US" sz="1200"/>
            </a:p>
          </xdr:txBody>
        </xdr:sp>
      </mc:Fallback>
    </mc:AlternateContent>
    <xdr:clientData/>
  </xdr:oneCellAnchor>
  <xdr:oneCellAnchor>
    <xdr:from>
      <xdr:col>12</xdr:col>
      <xdr:colOff>126777</xdr:colOff>
      <xdr:row>89</xdr:row>
      <xdr:rowOff>67737</xdr:rowOff>
    </xdr:from>
    <xdr:ext cx="956956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TextBox 27">
              <a:extLst>
                <a:ext uri="{FF2B5EF4-FFF2-40B4-BE49-F238E27FC236}">
                  <a16:creationId xmlns:a16="http://schemas.microsoft.com/office/drawing/2014/main" id="{A2CC90D8-3B5F-4EED-9ABE-CD91D023C978}"/>
                </a:ext>
              </a:extLst>
            </xdr:cNvPr>
            <xdr:cNvSpPr txBox="1"/>
          </xdr:nvSpPr>
          <xdr:spPr>
            <a:xfrm>
              <a:off x="2525538934" y="14240937"/>
              <a:ext cx="956956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sSub>
                          <m:sSubPr>
                            <m:ctrlPr>
                              <a:rPr lang="en-US" sz="12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1200" b="0" i="1">
                                <a:latin typeface="Cambria Math" panose="02040503050406030204" pitchFamily="18" charset="0"/>
                              </a:rPr>
                              <m:t>𝑆</m:t>
                            </m:r>
                          </m:e>
                          <m:sub>
                            <m:r>
                              <a:rPr lang="en-US" sz="1200" b="0" i="1">
                                <a:latin typeface="Cambria Math" panose="02040503050406030204" pitchFamily="18" charset="0"/>
                              </a:rPr>
                              <m:t>𝑀</m:t>
                            </m:r>
                            <m:r>
                              <a:rPr lang="en-US" sz="12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en-US" sz="1200" b="0" i="1">
                            <a:latin typeface="Cambria Math" panose="02040503050406030204" pitchFamily="18" charset="0"/>
                          </a:rPr>
                          <m:t>=</m:t>
                        </m:r>
                        <m:r>
                          <a:rPr lang="en-US" sz="12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en-US" sz="12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sSub>
                      <m:sSubPr>
                        <m:ctrlPr>
                          <a:rPr lang="en-US" sz="12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200" b="0" i="1">
                            <a:latin typeface="Cambria Math" panose="02040503050406030204" pitchFamily="18" charset="0"/>
                          </a:rPr>
                          <m:t>𝑆</m:t>
                        </m:r>
                      </m:e>
                      <m:sub>
                        <m:r>
                          <a:rPr lang="en-US" sz="12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en-US" sz="12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200"/>
            </a:p>
          </xdr:txBody>
        </xdr:sp>
      </mc:Choice>
      <mc:Fallback xmlns="">
        <xdr:sp macro="" textlink="">
          <xdr:nvSpPr>
            <xdr:cNvPr id="28" name="TextBox 27">
              <a:extLst>
                <a:ext uri="{FF2B5EF4-FFF2-40B4-BE49-F238E27FC236}">
                  <a16:creationId xmlns:a16="http://schemas.microsoft.com/office/drawing/2014/main" id="{A2CC90D8-3B5F-4EED-9ABE-CD91D023C978}"/>
                </a:ext>
              </a:extLst>
            </xdr:cNvPr>
            <xdr:cNvSpPr txBox="1"/>
          </xdr:nvSpPr>
          <xdr:spPr>
            <a:xfrm>
              <a:off x="2525538934" y="14240937"/>
              <a:ext cx="956956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:r>
                <a:rPr lang="en-US" sz="1200" i="0">
                  <a:latin typeface="Cambria Math" panose="02040503050406030204" pitchFamily="18" charset="0"/>
                </a:rPr>
                <a:t>〖</a:t>
              </a:r>
              <a:r>
                <a:rPr lang="en-US" sz="1200" b="0" i="0">
                  <a:latin typeface="Cambria Math" panose="02040503050406030204" pitchFamily="18" charset="0"/>
                </a:rPr>
                <a:t>𝑆_𝑀1=𝐹〗_1 𝑆_1=</a:t>
              </a:r>
              <a:endParaRPr lang="en-US" sz="1200"/>
            </a:p>
          </xdr:txBody>
        </xdr:sp>
      </mc:Fallback>
    </mc:AlternateContent>
    <xdr:clientData/>
  </xdr:oneCellAnchor>
  <xdr:oneCellAnchor>
    <xdr:from>
      <xdr:col>34</xdr:col>
      <xdr:colOff>8469</xdr:colOff>
      <xdr:row>93</xdr:row>
      <xdr:rowOff>25403</xdr:rowOff>
    </xdr:from>
    <xdr:ext cx="1092199" cy="24128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TextBox 28">
              <a:extLst>
                <a:ext uri="{FF2B5EF4-FFF2-40B4-BE49-F238E27FC236}">
                  <a16:creationId xmlns:a16="http://schemas.microsoft.com/office/drawing/2014/main" id="{A14F4C36-AFC2-4455-BA09-21635A8DDB33}"/>
                </a:ext>
              </a:extLst>
            </xdr:cNvPr>
            <xdr:cNvSpPr txBox="1"/>
          </xdr:nvSpPr>
          <xdr:spPr>
            <a:xfrm>
              <a:off x="2522169199" y="14808203"/>
              <a:ext cx="1092199" cy="24128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sSub>
                          <m:sSubPr>
                            <m:ctrlPr>
                              <a:rPr lang="en-US" sz="12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1200" b="0" i="1">
                                <a:latin typeface="Cambria Math" panose="02040503050406030204" pitchFamily="18" charset="0"/>
                              </a:rPr>
                              <m:t>𝑆</m:t>
                            </m:r>
                          </m:e>
                          <m:sub>
                            <m:r>
                              <a:rPr lang="en-US" sz="1200" b="0" i="1">
                                <a:latin typeface="Cambria Math" panose="02040503050406030204" pitchFamily="18" charset="0"/>
                              </a:rPr>
                              <m:t>𝐷𝑆</m:t>
                            </m:r>
                          </m:sub>
                        </m:sSub>
                        <m:r>
                          <a:rPr lang="en-US" sz="1200" b="0" i="1">
                            <a:latin typeface="Cambria Math" panose="02040503050406030204" pitchFamily="18" charset="0"/>
                          </a:rPr>
                          <m:t>=</m:t>
                        </m:r>
                        <m:f>
                          <m:fPr>
                            <m:type m:val="skw"/>
                            <m:ctrlPr>
                              <a:rPr lang="en-US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en-US" sz="12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num>
                          <m:den>
                            <m:r>
                              <a:rPr lang="en-US" sz="12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den>
                        </m:f>
                        <m:r>
                          <a:rPr lang="en-US" sz="1200" b="0" i="1">
                            <a:latin typeface="Cambria Math" panose="02040503050406030204" pitchFamily="18" charset="0"/>
                          </a:rPr>
                          <m:t>𝑆</m:t>
                        </m:r>
                      </m:e>
                      <m:sub>
                        <m:r>
                          <a:rPr lang="en-US" sz="1200" b="0" i="1">
                            <a:latin typeface="Cambria Math" panose="02040503050406030204" pitchFamily="18" charset="0"/>
                          </a:rPr>
                          <m:t>𝑀𝑆</m:t>
                        </m:r>
                      </m:sub>
                    </m:sSub>
                    <m:r>
                      <a:rPr lang="en-US" sz="12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200"/>
            </a:p>
          </xdr:txBody>
        </xdr:sp>
      </mc:Choice>
      <mc:Fallback xmlns="">
        <xdr:sp macro="" textlink="">
          <xdr:nvSpPr>
            <xdr:cNvPr id="29" name="TextBox 28">
              <a:extLst>
                <a:ext uri="{FF2B5EF4-FFF2-40B4-BE49-F238E27FC236}">
                  <a16:creationId xmlns:a16="http://schemas.microsoft.com/office/drawing/2014/main" id="{A14F4C36-AFC2-4455-BA09-21635A8DDB33}"/>
                </a:ext>
              </a:extLst>
            </xdr:cNvPr>
            <xdr:cNvSpPr txBox="1"/>
          </xdr:nvSpPr>
          <xdr:spPr>
            <a:xfrm>
              <a:off x="2522169199" y="14808203"/>
              <a:ext cx="1092199" cy="24128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:r>
                <a:rPr lang="en-US" sz="1200" i="0">
                  <a:latin typeface="Cambria Math" panose="02040503050406030204" pitchFamily="18" charset="0"/>
                </a:rPr>
                <a:t>〖</a:t>
              </a:r>
              <a:r>
                <a:rPr lang="en-US" sz="1200" b="0" i="0">
                  <a:latin typeface="Cambria Math" panose="02040503050406030204" pitchFamily="18" charset="0"/>
                </a:rPr>
                <a:t>𝑆_𝐷𝑆=2⁄3 𝑆〗_𝑀𝑆=</a:t>
              </a:r>
              <a:endParaRPr lang="en-US" sz="1200"/>
            </a:p>
          </xdr:txBody>
        </xdr:sp>
      </mc:Fallback>
    </mc:AlternateContent>
    <xdr:clientData/>
  </xdr:oneCellAnchor>
  <xdr:oneCellAnchor>
    <xdr:from>
      <xdr:col>14</xdr:col>
      <xdr:colOff>143935</xdr:colOff>
      <xdr:row>93</xdr:row>
      <xdr:rowOff>2</xdr:rowOff>
    </xdr:from>
    <xdr:ext cx="1082839" cy="24128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TextBox 29">
              <a:extLst>
                <a:ext uri="{FF2B5EF4-FFF2-40B4-BE49-F238E27FC236}">
                  <a16:creationId xmlns:a16="http://schemas.microsoft.com/office/drawing/2014/main" id="{54EF955A-72BF-4843-928A-967C6CF86C4D}"/>
                </a:ext>
              </a:extLst>
            </xdr:cNvPr>
            <xdr:cNvSpPr txBox="1"/>
          </xdr:nvSpPr>
          <xdr:spPr>
            <a:xfrm>
              <a:off x="2525091093" y="14782802"/>
              <a:ext cx="1082839" cy="24128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sSub>
                          <m:sSubPr>
                            <m:ctrlPr>
                              <a:rPr lang="en-US" sz="12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1200" b="0" i="1">
                                <a:latin typeface="Cambria Math" panose="02040503050406030204" pitchFamily="18" charset="0"/>
                              </a:rPr>
                              <m:t>𝑆</m:t>
                            </m:r>
                          </m:e>
                          <m:sub>
                            <m:r>
                              <a:rPr lang="en-US" sz="1200" b="0" i="1">
                                <a:latin typeface="Cambria Math" panose="02040503050406030204" pitchFamily="18" charset="0"/>
                              </a:rPr>
                              <m:t>𝐷</m:t>
                            </m:r>
                            <m:r>
                              <a:rPr lang="en-US" sz="12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en-US" sz="1200" b="0" i="1">
                            <a:latin typeface="Cambria Math" panose="02040503050406030204" pitchFamily="18" charset="0"/>
                          </a:rPr>
                          <m:t>=</m:t>
                        </m:r>
                        <m:f>
                          <m:fPr>
                            <m:type m:val="skw"/>
                            <m:ctrlPr>
                              <a:rPr lang="en-US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en-US" sz="12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num>
                          <m:den>
                            <m:r>
                              <a:rPr lang="en-US" sz="12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den>
                        </m:f>
                        <m:r>
                          <a:rPr lang="en-US" sz="1200" b="0" i="1">
                            <a:latin typeface="Cambria Math" panose="02040503050406030204" pitchFamily="18" charset="0"/>
                          </a:rPr>
                          <m:t>𝑆</m:t>
                        </m:r>
                      </m:e>
                      <m:sub>
                        <m:r>
                          <a:rPr lang="en-US" sz="1200" b="0" i="1">
                            <a:latin typeface="Cambria Math" panose="02040503050406030204" pitchFamily="18" charset="0"/>
                          </a:rPr>
                          <m:t>𝑀</m:t>
                        </m:r>
                        <m:r>
                          <a:rPr lang="en-US" sz="12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en-US" sz="12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200"/>
            </a:p>
          </xdr:txBody>
        </xdr:sp>
      </mc:Choice>
      <mc:Fallback xmlns="">
        <xdr:sp macro="" textlink="">
          <xdr:nvSpPr>
            <xdr:cNvPr id="30" name="TextBox 29">
              <a:extLst>
                <a:ext uri="{FF2B5EF4-FFF2-40B4-BE49-F238E27FC236}">
                  <a16:creationId xmlns:a16="http://schemas.microsoft.com/office/drawing/2014/main" id="{54EF955A-72BF-4843-928A-967C6CF86C4D}"/>
                </a:ext>
              </a:extLst>
            </xdr:cNvPr>
            <xdr:cNvSpPr txBox="1"/>
          </xdr:nvSpPr>
          <xdr:spPr>
            <a:xfrm>
              <a:off x="2525091093" y="14782802"/>
              <a:ext cx="1082839" cy="24128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:r>
                <a:rPr lang="en-US" sz="1200" i="0">
                  <a:latin typeface="Cambria Math" panose="02040503050406030204" pitchFamily="18" charset="0"/>
                </a:rPr>
                <a:t>〖</a:t>
              </a:r>
              <a:r>
                <a:rPr lang="en-US" sz="1200" b="0" i="0">
                  <a:latin typeface="Cambria Math" panose="02040503050406030204" pitchFamily="18" charset="0"/>
                </a:rPr>
                <a:t>𝑆_𝐷1=2⁄3 𝑆〗_𝑀1=</a:t>
              </a:r>
              <a:endParaRPr lang="en-US" sz="1200"/>
            </a:p>
          </xdr:txBody>
        </xdr:sp>
      </mc:Fallback>
    </mc:AlternateContent>
    <xdr:clientData/>
  </xdr:oneCellAnchor>
  <xdr:oneCellAnchor>
    <xdr:from>
      <xdr:col>32</xdr:col>
      <xdr:colOff>1</xdr:colOff>
      <xdr:row>96</xdr:row>
      <xdr:rowOff>143937</xdr:rowOff>
    </xdr:from>
    <xdr:ext cx="1397000" cy="29633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TextBox 30">
              <a:extLst>
                <a:ext uri="{FF2B5EF4-FFF2-40B4-BE49-F238E27FC236}">
                  <a16:creationId xmlns:a16="http://schemas.microsoft.com/office/drawing/2014/main" id="{E565DE94-8BAF-4AFA-B1E2-3B64F50DF61D}"/>
                </a:ext>
              </a:extLst>
            </xdr:cNvPr>
            <xdr:cNvSpPr txBox="1"/>
          </xdr:nvSpPr>
          <xdr:spPr>
            <a:xfrm>
              <a:off x="2515218066" y="15231537"/>
              <a:ext cx="1397000" cy="29633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𝑇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0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0</m:t>
                    </m:r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.</m:t>
                    </m:r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2</m:t>
                    </m:r>
                    <m:d>
                      <m:dPr>
                        <m:ctrlP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type m:val="skw"/>
                            <m:ctrlPr>
                              <a:rPr lang="en-US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lang="en-US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𝑆</m:t>
                                </m:r>
                              </m:e>
                              <m:sub>
                                <m:r>
                                  <a:rPr lang="en-US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𝐷</m:t>
                                </m:r>
                                <m:r>
                                  <a:rPr lang="en-US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</m:sub>
                            </m:sSub>
                          </m:num>
                          <m:den>
                            <m:sSub>
                              <m:sSubPr>
                                <m:ctrlPr>
                                  <a:rPr lang="en-US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𝑆</m:t>
                                </m:r>
                              </m:e>
                              <m:sub>
                                <m:r>
                                  <a:rPr lang="en-US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𝐷𝑆</m:t>
                                </m:r>
                              </m:sub>
                            </m:sSub>
                          </m:den>
                        </m:f>
                      </m:e>
                    </m:d>
                    <m:r>
                      <a:rPr lang="en-US" sz="12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200"/>
            </a:p>
          </xdr:txBody>
        </xdr:sp>
      </mc:Choice>
      <mc:Fallback xmlns="">
        <xdr:sp macro="" textlink="">
          <xdr:nvSpPr>
            <xdr:cNvPr id="31" name="TextBox 30">
              <a:extLst>
                <a:ext uri="{FF2B5EF4-FFF2-40B4-BE49-F238E27FC236}">
                  <a16:creationId xmlns:a16="http://schemas.microsoft.com/office/drawing/2014/main" id="{E565DE94-8BAF-4AFA-B1E2-3B64F50DF61D}"/>
                </a:ext>
              </a:extLst>
            </xdr:cNvPr>
            <xdr:cNvSpPr txBox="1"/>
          </xdr:nvSpPr>
          <xdr:spPr>
            <a:xfrm>
              <a:off x="2515218066" y="15231537"/>
              <a:ext cx="1397000" cy="29633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𝑇_0=0.2(𝑆_𝐷1⁄𝑆_𝐷𝑆 )</a:t>
              </a:r>
              <a:r>
                <a:rPr lang="en-US" sz="1200" b="0" i="0">
                  <a:latin typeface="Cambria Math" panose="02040503050406030204" pitchFamily="18" charset="0"/>
                </a:rPr>
                <a:t>=</a:t>
              </a:r>
              <a:endParaRPr lang="en-US" sz="1200"/>
            </a:p>
          </xdr:txBody>
        </xdr:sp>
      </mc:Fallback>
    </mc:AlternateContent>
    <xdr:clientData/>
  </xdr:oneCellAnchor>
  <xdr:oneCellAnchor>
    <xdr:from>
      <xdr:col>13</xdr:col>
      <xdr:colOff>126999</xdr:colOff>
      <xdr:row>97</xdr:row>
      <xdr:rowOff>0</xdr:rowOff>
    </xdr:from>
    <xdr:ext cx="1193801" cy="33866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TextBox 32">
              <a:extLst>
                <a:ext uri="{FF2B5EF4-FFF2-40B4-BE49-F238E27FC236}">
                  <a16:creationId xmlns:a16="http://schemas.microsoft.com/office/drawing/2014/main" id="{C81D67E0-8448-40E4-B2EF-692FDCC59736}"/>
                </a:ext>
              </a:extLst>
            </xdr:cNvPr>
            <xdr:cNvSpPr txBox="1"/>
          </xdr:nvSpPr>
          <xdr:spPr>
            <a:xfrm>
              <a:off x="2518189867" y="15240000"/>
              <a:ext cx="1193801" cy="3386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𝑇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𝑆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d>
                      <m:dPr>
                        <m:ctrlP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type m:val="skw"/>
                            <m:ctrlPr>
                              <a:rPr lang="en-US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lang="en-US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𝑆</m:t>
                                </m:r>
                              </m:e>
                              <m:sub>
                                <m:r>
                                  <a:rPr lang="en-US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𝐷</m:t>
                                </m:r>
                                <m:r>
                                  <a:rPr lang="en-US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</m:sub>
                            </m:sSub>
                          </m:num>
                          <m:den>
                            <m:sSub>
                              <m:sSubPr>
                                <m:ctrlPr>
                                  <a:rPr lang="en-US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𝑆</m:t>
                                </m:r>
                              </m:e>
                              <m:sub>
                                <m:r>
                                  <a:rPr lang="en-US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𝐷𝑆</m:t>
                                </m:r>
                              </m:sub>
                            </m:sSub>
                          </m:den>
                        </m:f>
                      </m:e>
                    </m:d>
                    <m:r>
                      <a:rPr lang="en-US" sz="12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200"/>
            </a:p>
          </xdr:txBody>
        </xdr:sp>
      </mc:Choice>
      <mc:Fallback xmlns="">
        <xdr:sp macro="" textlink="">
          <xdr:nvSpPr>
            <xdr:cNvPr id="33" name="TextBox 32">
              <a:extLst>
                <a:ext uri="{FF2B5EF4-FFF2-40B4-BE49-F238E27FC236}">
                  <a16:creationId xmlns:a16="http://schemas.microsoft.com/office/drawing/2014/main" id="{C81D67E0-8448-40E4-B2EF-692FDCC59736}"/>
                </a:ext>
              </a:extLst>
            </xdr:cNvPr>
            <xdr:cNvSpPr txBox="1"/>
          </xdr:nvSpPr>
          <xdr:spPr>
            <a:xfrm>
              <a:off x="2518189867" y="15240000"/>
              <a:ext cx="1193801" cy="3386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𝑇_𝑆=(𝑆_𝐷1⁄𝑆_𝐷𝑆 )</a:t>
              </a:r>
              <a:r>
                <a:rPr lang="en-US" sz="1200" b="0" i="0">
                  <a:latin typeface="Cambria Math" panose="02040503050406030204" pitchFamily="18" charset="0"/>
                </a:rPr>
                <a:t>=</a:t>
              </a:r>
              <a:endParaRPr lang="en-US" sz="1200"/>
            </a:p>
          </xdr:txBody>
        </xdr:sp>
      </mc:Fallback>
    </mc:AlternateContent>
    <xdr:clientData/>
  </xdr:oneCellAnchor>
  <xdr:oneCellAnchor>
    <xdr:from>
      <xdr:col>4</xdr:col>
      <xdr:colOff>110067</xdr:colOff>
      <xdr:row>97</xdr:row>
      <xdr:rowOff>59266</xdr:rowOff>
    </xdr:from>
    <xdr:ext cx="423330" cy="23706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TextBox 33">
              <a:extLst>
                <a:ext uri="{FF2B5EF4-FFF2-40B4-BE49-F238E27FC236}">
                  <a16:creationId xmlns:a16="http://schemas.microsoft.com/office/drawing/2014/main" id="{3EBCA378-3192-432C-971E-01BC178DABA1}"/>
                </a:ext>
              </a:extLst>
            </xdr:cNvPr>
            <xdr:cNvSpPr txBox="1"/>
          </xdr:nvSpPr>
          <xdr:spPr>
            <a:xfrm>
              <a:off x="2520348870" y="15299266"/>
              <a:ext cx="423330" cy="2370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𝑇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𝐿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34" name="TextBox 33">
              <a:extLst>
                <a:ext uri="{FF2B5EF4-FFF2-40B4-BE49-F238E27FC236}">
                  <a16:creationId xmlns:a16="http://schemas.microsoft.com/office/drawing/2014/main" id="{3EBCA378-3192-432C-971E-01BC178DABA1}"/>
                </a:ext>
              </a:extLst>
            </xdr:cNvPr>
            <xdr:cNvSpPr txBox="1"/>
          </xdr:nvSpPr>
          <xdr:spPr>
            <a:xfrm>
              <a:off x="2520348870" y="15299266"/>
              <a:ext cx="423330" cy="2370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𝑇_𝐿=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39</xdr:col>
      <xdr:colOff>42333</xdr:colOff>
      <xdr:row>107</xdr:row>
      <xdr:rowOff>42336</xdr:rowOff>
    </xdr:from>
    <xdr:ext cx="321732" cy="2370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TextBox 31">
              <a:extLst>
                <a:ext uri="{FF2B5EF4-FFF2-40B4-BE49-F238E27FC236}">
                  <a16:creationId xmlns:a16="http://schemas.microsoft.com/office/drawing/2014/main" id="{CC52AAC2-6CEE-44DC-8803-5E1F2B34D8B5}"/>
                </a:ext>
              </a:extLst>
            </xdr:cNvPr>
            <xdr:cNvSpPr txBox="1"/>
          </xdr:nvSpPr>
          <xdr:spPr>
            <a:xfrm>
              <a:off x="2515184202" y="16806336"/>
              <a:ext cx="321732" cy="2370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𝑆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32" name="TextBox 31">
              <a:extLst>
                <a:ext uri="{FF2B5EF4-FFF2-40B4-BE49-F238E27FC236}">
                  <a16:creationId xmlns:a16="http://schemas.microsoft.com/office/drawing/2014/main" id="{CC52AAC2-6CEE-44DC-8803-5E1F2B34D8B5}"/>
                </a:ext>
              </a:extLst>
            </xdr:cNvPr>
            <xdr:cNvSpPr txBox="1"/>
          </xdr:nvSpPr>
          <xdr:spPr>
            <a:xfrm>
              <a:off x="2515184202" y="16806336"/>
              <a:ext cx="321732" cy="2370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𝑆_𝑎=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36</xdr:col>
      <xdr:colOff>127002</xdr:colOff>
      <xdr:row>172</xdr:row>
      <xdr:rowOff>33871</xdr:rowOff>
    </xdr:from>
    <xdr:ext cx="499533" cy="2370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TextBox 34">
              <a:extLst>
                <a:ext uri="{FF2B5EF4-FFF2-40B4-BE49-F238E27FC236}">
                  <a16:creationId xmlns:a16="http://schemas.microsoft.com/office/drawing/2014/main" id="{40AF89CF-C5F1-494D-A029-99D00EBF0FF7}"/>
                </a:ext>
              </a:extLst>
            </xdr:cNvPr>
            <xdr:cNvSpPr txBox="1"/>
          </xdr:nvSpPr>
          <xdr:spPr>
            <a:xfrm>
              <a:off x="2517182332" y="26424471"/>
              <a:ext cx="499533" cy="2370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𝐹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𝑃𝐺𝐴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35" name="TextBox 34">
              <a:extLst>
                <a:ext uri="{FF2B5EF4-FFF2-40B4-BE49-F238E27FC236}">
                  <a16:creationId xmlns:a16="http://schemas.microsoft.com/office/drawing/2014/main" id="{40AF89CF-C5F1-494D-A029-99D00EBF0FF7}"/>
                </a:ext>
              </a:extLst>
            </xdr:cNvPr>
            <xdr:cNvSpPr txBox="1"/>
          </xdr:nvSpPr>
          <xdr:spPr>
            <a:xfrm>
              <a:off x="2517182332" y="26424471"/>
              <a:ext cx="499533" cy="2370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𝐹_𝑃𝐺𝐴=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36</xdr:col>
      <xdr:colOff>118534</xdr:colOff>
      <xdr:row>170</xdr:row>
      <xdr:rowOff>84671</xdr:rowOff>
    </xdr:from>
    <xdr:ext cx="499533" cy="2370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6" name="TextBox 35">
              <a:extLst>
                <a:ext uri="{FF2B5EF4-FFF2-40B4-BE49-F238E27FC236}">
                  <a16:creationId xmlns:a16="http://schemas.microsoft.com/office/drawing/2014/main" id="{E7C7F140-8131-4291-8DF0-2CBA20066B1B}"/>
                </a:ext>
              </a:extLst>
            </xdr:cNvPr>
            <xdr:cNvSpPr txBox="1"/>
          </xdr:nvSpPr>
          <xdr:spPr>
            <a:xfrm>
              <a:off x="2517190800" y="26170471"/>
              <a:ext cx="499533" cy="2370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</m:t>
                    </m:r>
                    <m:r>
                      <a:rPr lang="en-US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𝐺𝐴</m:t>
                    </m:r>
                    <m:r>
                      <a:rPr lang="en-US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</m:oMath>
                </m:oMathPara>
              </a14:m>
              <a:endParaRPr lang="en-US" sz="1200"/>
            </a:p>
          </xdr:txBody>
        </xdr:sp>
      </mc:Choice>
      <mc:Fallback xmlns="">
        <xdr:sp macro="" textlink="">
          <xdr:nvSpPr>
            <xdr:cNvPr id="36" name="TextBox 35">
              <a:extLst>
                <a:ext uri="{FF2B5EF4-FFF2-40B4-BE49-F238E27FC236}">
                  <a16:creationId xmlns:a16="http://schemas.microsoft.com/office/drawing/2014/main" id="{E7C7F140-8131-4291-8DF0-2CBA20066B1B}"/>
                </a:ext>
              </a:extLst>
            </xdr:cNvPr>
            <xdr:cNvSpPr txBox="1"/>
          </xdr:nvSpPr>
          <xdr:spPr>
            <a:xfrm>
              <a:off x="2517190800" y="26170471"/>
              <a:ext cx="499533" cy="2370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𝑃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𝐺𝐴=</a:t>
              </a:r>
              <a:endParaRPr lang="en-US" sz="1200"/>
            </a:p>
          </xdr:txBody>
        </xdr:sp>
      </mc:Fallback>
    </mc:AlternateContent>
    <xdr:clientData/>
  </xdr:oneCellAnchor>
  <xdr:oneCellAnchor>
    <xdr:from>
      <xdr:col>30</xdr:col>
      <xdr:colOff>8468</xdr:colOff>
      <xdr:row>174</xdr:row>
      <xdr:rowOff>59271</xdr:rowOff>
    </xdr:from>
    <xdr:ext cx="1507067" cy="26246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" name="TextBox 36">
              <a:extLst>
                <a:ext uri="{FF2B5EF4-FFF2-40B4-BE49-F238E27FC236}">
                  <a16:creationId xmlns:a16="http://schemas.microsoft.com/office/drawing/2014/main" id="{B5049A25-6CCD-4B9E-8F4D-E73A2344A00F}"/>
                </a:ext>
              </a:extLst>
            </xdr:cNvPr>
            <xdr:cNvSpPr txBox="1"/>
          </xdr:nvSpPr>
          <xdr:spPr>
            <a:xfrm>
              <a:off x="2517207732" y="26754671"/>
              <a:ext cx="1507067" cy="26246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sSub>
                          <m:sSubPr>
                            <m:ctrlPr>
                              <a:rPr lang="en-US" sz="12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𝑃𝐺𝐴</m:t>
                            </m:r>
                          </m:e>
                          <m:sub>
                            <m:r>
                              <a:rPr lang="en-US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𝑆</m:t>
                            </m:r>
                          </m:sub>
                        </m:s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=</m:t>
                        </m:r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𝑃𝐺𝐴</m:t>
                        </m:r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×</m:t>
                        </m:r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𝐹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𝑃𝐺𝐴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37" name="TextBox 36">
              <a:extLst>
                <a:ext uri="{FF2B5EF4-FFF2-40B4-BE49-F238E27FC236}">
                  <a16:creationId xmlns:a16="http://schemas.microsoft.com/office/drawing/2014/main" id="{B5049A25-6CCD-4B9E-8F4D-E73A2344A00F}"/>
                </a:ext>
              </a:extLst>
            </xdr:cNvPr>
            <xdr:cNvSpPr txBox="1"/>
          </xdr:nvSpPr>
          <xdr:spPr>
            <a:xfrm>
              <a:off x="2517207732" y="26754671"/>
              <a:ext cx="1507067" cy="26246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〖〖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𝑃𝐺𝐴〗_𝑆=𝑃𝐺𝐴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×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𝐹〗_𝑃𝐺𝐴=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38</xdr:col>
      <xdr:colOff>42331</xdr:colOff>
      <xdr:row>178</xdr:row>
      <xdr:rowOff>67736</xdr:rowOff>
    </xdr:from>
    <xdr:ext cx="321732" cy="2370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TextBox 37">
              <a:extLst>
                <a:ext uri="{FF2B5EF4-FFF2-40B4-BE49-F238E27FC236}">
                  <a16:creationId xmlns:a16="http://schemas.microsoft.com/office/drawing/2014/main" id="{81B08324-0C40-4008-AE58-4F40EAB2445C}"/>
                </a:ext>
              </a:extLst>
            </xdr:cNvPr>
            <xdr:cNvSpPr txBox="1"/>
          </xdr:nvSpPr>
          <xdr:spPr>
            <a:xfrm>
              <a:off x="2515336604" y="18508136"/>
              <a:ext cx="321732" cy="2370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𝑉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38" name="TextBox 37">
              <a:extLst>
                <a:ext uri="{FF2B5EF4-FFF2-40B4-BE49-F238E27FC236}">
                  <a16:creationId xmlns:a16="http://schemas.microsoft.com/office/drawing/2014/main" id="{81B08324-0C40-4008-AE58-4F40EAB2445C}"/>
                </a:ext>
              </a:extLst>
            </xdr:cNvPr>
            <xdr:cNvSpPr txBox="1"/>
          </xdr:nvSpPr>
          <xdr:spPr>
            <a:xfrm>
              <a:off x="2515336604" y="18508136"/>
              <a:ext cx="321732" cy="2370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𝑉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37</xdr:col>
      <xdr:colOff>127003</xdr:colOff>
      <xdr:row>116</xdr:row>
      <xdr:rowOff>67736</xdr:rowOff>
    </xdr:from>
    <xdr:ext cx="516463" cy="2624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TextBox 38">
              <a:extLst>
                <a:ext uri="{FF2B5EF4-FFF2-40B4-BE49-F238E27FC236}">
                  <a16:creationId xmlns:a16="http://schemas.microsoft.com/office/drawing/2014/main" id="{6374E915-B197-4960-AF5A-7F9F5354692C}"/>
                </a:ext>
              </a:extLst>
            </xdr:cNvPr>
            <xdr:cNvSpPr txBox="1"/>
          </xdr:nvSpPr>
          <xdr:spPr>
            <a:xfrm>
              <a:off x="2515209601" y="17441336"/>
              <a:ext cx="516463" cy="2624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𝐼</m:t>
                        </m:r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𝑆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𝐷</m:t>
                        </m:r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39" name="TextBox 38">
              <a:extLst>
                <a:ext uri="{FF2B5EF4-FFF2-40B4-BE49-F238E27FC236}">
                  <a16:creationId xmlns:a16="http://schemas.microsoft.com/office/drawing/2014/main" id="{6374E915-B197-4960-AF5A-7F9F5354692C}"/>
                </a:ext>
              </a:extLst>
            </xdr:cNvPr>
            <xdr:cNvSpPr txBox="1"/>
          </xdr:nvSpPr>
          <xdr:spPr>
            <a:xfrm>
              <a:off x="2515209601" y="17441336"/>
              <a:ext cx="516463" cy="2624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𝐼.𝑆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〗_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𝐷1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31</xdr:col>
      <xdr:colOff>25399</xdr:colOff>
      <xdr:row>116</xdr:row>
      <xdr:rowOff>59270</xdr:rowOff>
    </xdr:from>
    <xdr:ext cx="516463" cy="2624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TextBox 39">
              <a:extLst>
                <a:ext uri="{FF2B5EF4-FFF2-40B4-BE49-F238E27FC236}">
                  <a16:creationId xmlns:a16="http://schemas.microsoft.com/office/drawing/2014/main" id="{815C3913-0400-4888-9697-30BEE001C8E1}"/>
                </a:ext>
              </a:extLst>
            </xdr:cNvPr>
            <xdr:cNvSpPr txBox="1"/>
          </xdr:nvSpPr>
          <xdr:spPr>
            <a:xfrm>
              <a:off x="2516225605" y="17432870"/>
              <a:ext cx="516463" cy="2624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𝐼</m:t>
                        </m:r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𝑆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𝐷𝑆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40" name="TextBox 39">
              <a:extLst>
                <a:ext uri="{FF2B5EF4-FFF2-40B4-BE49-F238E27FC236}">
                  <a16:creationId xmlns:a16="http://schemas.microsoft.com/office/drawing/2014/main" id="{815C3913-0400-4888-9697-30BEE001C8E1}"/>
                </a:ext>
              </a:extLst>
            </xdr:cNvPr>
            <xdr:cNvSpPr txBox="1"/>
          </xdr:nvSpPr>
          <xdr:spPr>
            <a:xfrm>
              <a:off x="2516225605" y="17432870"/>
              <a:ext cx="516463" cy="2624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𝐼.𝑆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〗_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𝐷𝑆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23</xdr:col>
      <xdr:colOff>126995</xdr:colOff>
      <xdr:row>116</xdr:row>
      <xdr:rowOff>67737</xdr:rowOff>
    </xdr:from>
    <xdr:ext cx="516463" cy="2624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" name="TextBox 40">
              <a:extLst>
                <a:ext uri="{FF2B5EF4-FFF2-40B4-BE49-F238E27FC236}">
                  <a16:creationId xmlns:a16="http://schemas.microsoft.com/office/drawing/2014/main" id="{FBD73497-F334-4FC7-A813-B19A18D62AF4}"/>
                </a:ext>
              </a:extLst>
            </xdr:cNvPr>
            <xdr:cNvSpPr txBox="1"/>
          </xdr:nvSpPr>
          <xdr:spPr>
            <a:xfrm>
              <a:off x="2517343209" y="17441337"/>
              <a:ext cx="516463" cy="2624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𝐼</m:t>
                        </m:r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𝑆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41" name="TextBox 40">
              <a:extLst>
                <a:ext uri="{FF2B5EF4-FFF2-40B4-BE49-F238E27FC236}">
                  <a16:creationId xmlns:a16="http://schemas.microsoft.com/office/drawing/2014/main" id="{FBD73497-F334-4FC7-A813-B19A18D62AF4}"/>
                </a:ext>
              </a:extLst>
            </xdr:cNvPr>
            <xdr:cNvSpPr txBox="1"/>
          </xdr:nvSpPr>
          <xdr:spPr>
            <a:xfrm>
              <a:off x="2517343209" y="17441337"/>
              <a:ext cx="516463" cy="2624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𝐼.𝑆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〗_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endParaRPr lang="en-US" sz="1400"/>
            </a:p>
          </xdr:txBody>
        </xdr:sp>
      </mc:Fallback>
    </mc:AlternateContent>
    <xdr:clientData/>
  </xdr:oneCellAnchor>
  <xdr:twoCellAnchor>
    <xdr:from>
      <xdr:col>42</xdr:col>
      <xdr:colOff>67373</xdr:colOff>
      <xdr:row>19</xdr:row>
      <xdr:rowOff>30180</xdr:rowOff>
    </xdr:from>
    <xdr:to>
      <xdr:col>45</xdr:col>
      <xdr:colOff>448373</xdr:colOff>
      <xdr:row>23</xdr:row>
      <xdr:rowOff>14940</xdr:rowOff>
    </xdr:to>
    <xdr:grpSp>
      <xdr:nvGrpSpPr>
        <xdr:cNvPr id="47" name="Group 4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5ED405-B187-7A10-0BFF-DD85B6935140}"/>
            </a:ext>
          </a:extLst>
        </xdr:cNvPr>
        <xdr:cNvGrpSpPr/>
      </xdr:nvGrpSpPr>
      <xdr:grpSpPr>
        <a:xfrm>
          <a:off x="2511263647" y="2925780"/>
          <a:ext cx="1821180" cy="594360"/>
          <a:chOff x="2514947132" y="3362853"/>
          <a:chExt cx="1803576" cy="597481"/>
        </a:xfrm>
      </xdr:grpSpPr>
      <xdr:sp macro="" textlink="">
        <xdr:nvSpPr>
          <xdr:cNvPr id="46" name="Rectangle: Rounded Corners 45">
            <a:extLst>
              <a:ext uri="{FF2B5EF4-FFF2-40B4-BE49-F238E27FC236}">
                <a16:creationId xmlns:a16="http://schemas.microsoft.com/office/drawing/2014/main" id="{A58F31E0-9BED-64DE-976F-3A6A6233BCCA}"/>
              </a:ext>
            </a:extLst>
          </xdr:cNvPr>
          <xdr:cNvSpPr/>
        </xdr:nvSpPr>
        <xdr:spPr>
          <a:xfrm>
            <a:off x="2514947132" y="3362853"/>
            <a:ext cx="1803576" cy="597481"/>
          </a:xfrm>
          <a:prstGeom prst="roundRect">
            <a:avLst>
              <a:gd name="adj" fmla="val 11686"/>
            </a:avLst>
          </a:prstGeom>
          <a:solidFill>
            <a:schemeClr val="accent1">
              <a:lumMod val="40000"/>
              <a:lumOff val="6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  <a:scene3d>
            <a:camera prst="obliqueTopLef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 rtl="1"/>
            <a:r>
              <a:rPr lang="fa-IR" sz="1100" b="1" cap="none" spc="0">
                <a:ln>
                  <a:noFill/>
                </a:ln>
                <a:solidFill>
                  <a:schemeClr val="tx1"/>
                </a:solidFill>
                <a:effectLst/>
                <a:cs typeface="B Nazanin" panose="00000400000000000000" pitchFamily="2" charset="-78"/>
              </a:rPr>
              <a:t>مشاهده</a:t>
            </a:r>
            <a:r>
              <a:rPr lang="fa-IR" sz="1100" b="1" cap="none" spc="0" baseline="0">
                <a:ln>
                  <a:noFill/>
                </a:ln>
                <a:solidFill>
                  <a:schemeClr val="tx1"/>
                </a:solidFill>
                <a:effectLst/>
                <a:cs typeface="B Nazanin" panose="00000400000000000000" pitchFamily="2" charset="-78"/>
              </a:rPr>
              <a:t> نقشه شتاب طیفی</a:t>
            </a:r>
            <a:endParaRPr lang="en-US" sz="1100" b="1" cap="none" spc="0" baseline="0">
              <a:ln>
                <a:noFill/>
              </a:ln>
              <a:solidFill>
                <a:schemeClr val="tx1"/>
              </a:solidFill>
              <a:effectLst/>
              <a:cs typeface="B Nazanin" panose="00000400000000000000" pitchFamily="2" charset="-78"/>
            </a:endParaRPr>
          </a:p>
          <a:p>
            <a:pPr algn="l" rtl="1"/>
            <a:r>
              <a:rPr lang="fa-IR" sz="1100" b="1" cap="none" spc="0" baseline="0">
                <a:ln>
                  <a:noFill/>
                </a:ln>
                <a:solidFill>
                  <a:schemeClr val="tx1"/>
                </a:solidFill>
                <a:effectLst/>
                <a:cs typeface="B Nazanin" panose="00000400000000000000" pitchFamily="2" charset="-78"/>
              </a:rPr>
              <a:t>در زمان کوتاه ۰.۲ ثانیه (</a:t>
            </a:r>
            <a:r>
              <a:rPr lang="en-US" sz="1100" b="1" cap="none" spc="0" baseline="0">
                <a:ln>
                  <a:noFill/>
                </a:ln>
                <a:solidFill>
                  <a:schemeClr val="tx1"/>
                </a:solidFill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Fs</a:t>
            </a:r>
            <a:r>
              <a:rPr lang="fa-IR" sz="1100" b="1" cap="none" spc="0" baseline="0">
                <a:ln>
                  <a:noFill/>
                </a:ln>
                <a:solidFill>
                  <a:schemeClr val="tx1"/>
                </a:solidFill>
                <a:effectLst/>
                <a:cs typeface="B Nazanin" panose="00000400000000000000" pitchFamily="2" charset="-78"/>
              </a:rPr>
              <a:t>)</a:t>
            </a:r>
            <a:endParaRPr lang="en-US" sz="1100" b="1" cap="none" spc="0">
              <a:ln>
                <a:noFill/>
              </a:ln>
              <a:solidFill>
                <a:schemeClr val="tx1"/>
              </a:solidFill>
              <a:effectLst/>
              <a:cs typeface="B Nazanin" panose="00000400000000000000" pitchFamily="2" charset="-78"/>
            </a:endParaRPr>
          </a:p>
        </xdr:txBody>
      </xdr:sp>
      <xdr:pic>
        <xdr:nvPicPr>
          <xdr:cNvPr id="45" name="Graphic 44" descr="Camera with solid fill">
            <a:extLst>
              <a:ext uri="{FF2B5EF4-FFF2-40B4-BE49-F238E27FC236}">
                <a16:creationId xmlns:a16="http://schemas.microsoft.com/office/drawing/2014/main" id="{12B161A9-B086-5931-D3D4-A44B92CABB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516407721" y="3517901"/>
            <a:ext cx="321720" cy="321721"/>
          </a:xfrm>
          <a:prstGeom prst="rect">
            <a:avLst/>
          </a:prstGeom>
        </xdr:spPr>
      </xdr:pic>
    </xdr:grpSp>
    <xdr:clientData/>
  </xdr:twoCellAnchor>
  <xdr:oneCellAnchor>
    <xdr:from>
      <xdr:col>30</xdr:col>
      <xdr:colOff>110065</xdr:colOff>
      <xdr:row>135</xdr:row>
      <xdr:rowOff>110070</xdr:rowOff>
    </xdr:from>
    <xdr:ext cx="1549401" cy="5672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TextBox 47">
              <a:extLst>
                <a:ext uri="{FF2B5EF4-FFF2-40B4-BE49-F238E27FC236}">
                  <a16:creationId xmlns:a16="http://schemas.microsoft.com/office/drawing/2014/main" id="{DB3EF3A7-21B7-4CEC-B7B2-0DD75EC55B48}"/>
                </a:ext>
              </a:extLst>
            </xdr:cNvPr>
            <xdr:cNvSpPr txBox="1"/>
          </xdr:nvSpPr>
          <xdr:spPr>
            <a:xfrm>
              <a:off x="2513973467" y="20988870"/>
              <a:ext cx="1549401" cy="5672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𝝆</m:t>
                        </m:r>
                        <m:r>
                          <a:rPr lang="en-US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.</m:t>
                        </m:r>
                        <m:r>
                          <a:rPr lang="en-US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𝑪</m:t>
                        </m:r>
                      </m:e>
                      <m:sub>
                        <m:r>
                          <a:rPr lang="en-US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𝑫𝒆𝒔𝒊𝒈𝒏</m:t>
                        </m:r>
                      </m:sub>
                    </m:sSub>
                    <m:r>
                      <a:rPr lang="en-US" sz="12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en-US" sz="12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𝝆</m:t>
                    </m:r>
                    <m:r>
                      <a:rPr lang="en-US" sz="12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.</m:t>
                    </m:r>
                    <m:f>
                      <m:fPr>
                        <m:ctrlPr>
                          <a:rPr lang="en-US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12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2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𝑺</m:t>
                            </m:r>
                          </m:e>
                          <m:sub>
                            <m:r>
                              <a:rPr lang="en-US" sz="12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𝒂</m:t>
                            </m:r>
                          </m:sub>
                        </m:sSub>
                      </m:num>
                      <m:den>
                        <m:d>
                          <m:dPr>
                            <m:ctrlPr>
                              <a:rPr lang="en-US" sz="12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en-US" sz="12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sSub>
                                  <m:sSubPr>
                                    <m:ctrlPr>
                                      <a:rPr lang="en-US" sz="12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2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𝑹</m:t>
                                    </m:r>
                                  </m:e>
                                  <m:sub>
                                    <m:r>
                                      <a:rPr lang="en-US" sz="12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𝒖</m:t>
                                    </m:r>
                                  </m:sub>
                                </m:sSub>
                              </m:num>
                              <m:den>
                                <m:sSub>
                                  <m:sSubPr>
                                    <m:ctrlPr>
                                      <a:rPr lang="en-US" sz="12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2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𝑰</m:t>
                                    </m:r>
                                  </m:e>
                                  <m:sub>
                                    <m:r>
                                      <a:rPr lang="en-US" sz="12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𝒆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</m:den>
                    </m:f>
                    <m:r>
                      <a:rPr lang="en-US" sz="12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</m:oMath>
                </m:oMathPara>
              </a14:m>
              <a:endParaRPr lang="en-US" sz="1200" b="1"/>
            </a:p>
          </xdr:txBody>
        </xdr:sp>
      </mc:Choice>
      <mc:Fallback xmlns="">
        <xdr:sp macro="" textlink="">
          <xdr:nvSpPr>
            <xdr:cNvPr id="48" name="TextBox 47">
              <a:extLst>
                <a:ext uri="{FF2B5EF4-FFF2-40B4-BE49-F238E27FC236}">
                  <a16:creationId xmlns:a16="http://schemas.microsoft.com/office/drawing/2014/main" id="{DB3EF3A7-21B7-4CEC-B7B2-0DD75EC55B48}"/>
                </a:ext>
              </a:extLst>
            </xdr:cNvPr>
            <xdr:cNvSpPr txBox="1"/>
          </xdr:nvSpPr>
          <xdr:spPr>
            <a:xfrm>
              <a:off x="2513973467" y="20988870"/>
              <a:ext cx="1549401" cy="5672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n-US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𝝆.</a:t>
              </a:r>
              <a:r>
                <a:rPr lang="en-US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𝑪〗_𝑫𝒆𝒔𝒊𝒈𝒏=</a:t>
              </a:r>
              <a:r>
                <a:rPr lang="en-US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𝝆.</a:t>
              </a:r>
              <a:r>
                <a:rPr lang="en-US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𝑺_𝒂/((𝑹_𝒖/𝑰_𝒆 ) )=</a:t>
              </a:r>
              <a:endParaRPr lang="en-US" sz="1200" b="1"/>
            </a:p>
          </xdr:txBody>
        </xdr:sp>
      </mc:Fallback>
    </mc:AlternateContent>
    <xdr:clientData/>
  </xdr:oneCellAnchor>
  <xdr:oneCellAnchor>
    <xdr:from>
      <xdr:col>30</xdr:col>
      <xdr:colOff>59267</xdr:colOff>
      <xdr:row>131</xdr:row>
      <xdr:rowOff>0</xdr:rowOff>
    </xdr:from>
    <xdr:ext cx="1829571" cy="27093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TextBox 48">
              <a:extLst>
                <a:ext uri="{FF2B5EF4-FFF2-40B4-BE49-F238E27FC236}">
                  <a16:creationId xmlns:a16="http://schemas.microsoft.com/office/drawing/2014/main" id="{A6A060C4-F7B1-4D81-8DB5-DFC3FECC5315}"/>
                </a:ext>
              </a:extLst>
            </xdr:cNvPr>
            <xdr:cNvSpPr txBox="1"/>
          </xdr:nvSpPr>
          <xdr:spPr>
            <a:xfrm>
              <a:off x="2513744095" y="19202400"/>
              <a:ext cx="1829571" cy="2709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ctr" rtl="0"/>
              <a:r>
                <a:rPr lang="en-US" sz="1200" b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r>
                    <a:rPr lang="en-US" sz="1200" b="0" i="1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  <a:cs typeface="Times New Roman" pitchFamily="18" charset="0"/>
                    </a:rPr>
                    <m:t>𝐾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0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.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5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𝑇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+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0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.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75</m:t>
                  </m:r>
                </m:oMath>
              </a14:m>
              <a:endParaRPr lang="en-US" sz="1200" b="0">
                <a:solidFill>
                  <a:sysClr val="windowText" lastClr="000000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49" name="TextBox 48">
              <a:extLst>
                <a:ext uri="{FF2B5EF4-FFF2-40B4-BE49-F238E27FC236}">
                  <a16:creationId xmlns:a16="http://schemas.microsoft.com/office/drawing/2014/main" id="{A6A060C4-F7B1-4D81-8DB5-DFC3FECC5315}"/>
                </a:ext>
              </a:extLst>
            </xdr:cNvPr>
            <xdr:cNvSpPr txBox="1"/>
          </xdr:nvSpPr>
          <xdr:spPr>
            <a:xfrm>
              <a:off x="2513744095" y="19202400"/>
              <a:ext cx="1829571" cy="2709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ctr" rtl="0"/>
              <a:r>
                <a:rPr lang="en-US" sz="1200" b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𝐾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=0.5𝑇+0.75</a:t>
              </a:r>
              <a:endParaRPr lang="en-US" sz="1200" b="0">
                <a:solidFill>
                  <a:sysClr val="windowText" lastClr="000000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31</xdr:col>
      <xdr:colOff>67733</xdr:colOff>
      <xdr:row>132</xdr:row>
      <xdr:rowOff>143934</xdr:rowOff>
    </xdr:from>
    <xdr:ext cx="1449343" cy="27093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TextBox 49">
              <a:extLst>
                <a:ext uri="{FF2B5EF4-FFF2-40B4-BE49-F238E27FC236}">
                  <a16:creationId xmlns:a16="http://schemas.microsoft.com/office/drawing/2014/main" id="{B11ECDC7-CC46-49E0-AD5A-01A0CC416D6F}"/>
                </a:ext>
              </a:extLst>
            </xdr:cNvPr>
            <xdr:cNvSpPr txBox="1"/>
          </xdr:nvSpPr>
          <xdr:spPr>
            <a:xfrm>
              <a:off x="2513963457" y="20565534"/>
              <a:ext cx="1449343" cy="2709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ctr" rtl="0"/>
              <a:r>
                <a:rPr lang="en-US" sz="1200" b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0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.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5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≤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𝑇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≤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2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.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5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 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𝑠𝑒𝑐</m:t>
                  </m:r>
                </m:oMath>
              </a14:m>
              <a:r>
                <a:rPr lang="en-US" sz="1200" b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 </a:t>
              </a:r>
            </a:p>
          </xdr:txBody>
        </xdr:sp>
      </mc:Choice>
      <mc:Fallback xmlns="">
        <xdr:sp macro="" textlink="">
          <xdr:nvSpPr>
            <xdr:cNvPr id="50" name="TextBox 49">
              <a:extLst>
                <a:ext uri="{FF2B5EF4-FFF2-40B4-BE49-F238E27FC236}">
                  <a16:creationId xmlns:a16="http://schemas.microsoft.com/office/drawing/2014/main" id="{B11ECDC7-CC46-49E0-AD5A-01A0CC416D6F}"/>
                </a:ext>
              </a:extLst>
            </xdr:cNvPr>
            <xdr:cNvSpPr txBox="1"/>
          </xdr:nvSpPr>
          <xdr:spPr>
            <a:xfrm>
              <a:off x="2513963457" y="20565534"/>
              <a:ext cx="1449343" cy="2709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ctr" rtl="0"/>
              <a:r>
                <a:rPr lang="en-US" sz="1200" b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0.5≤𝑇≤2.5  𝑠𝑒𝑐</a:t>
              </a:r>
              <a:r>
                <a:rPr lang="en-US" sz="1200" b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 </a:t>
              </a:r>
            </a:p>
          </xdr:txBody>
        </xdr:sp>
      </mc:Fallback>
    </mc:AlternateContent>
    <xdr:clientData/>
  </xdr:oneCellAnchor>
  <xdr:oneCellAnchor>
    <xdr:from>
      <xdr:col>23</xdr:col>
      <xdr:colOff>0</xdr:colOff>
      <xdr:row>132</xdr:row>
      <xdr:rowOff>25400</xdr:rowOff>
    </xdr:from>
    <xdr:ext cx="1009075" cy="27093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TextBox 50">
              <a:extLst>
                <a:ext uri="{FF2B5EF4-FFF2-40B4-BE49-F238E27FC236}">
                  <a16:creationId xmlns:a16="http://schemas.microsoft.com/office/drawing/2014/main" id="{16C2FF11-26CD-4886-A3A0-741CE3E531CB}"/>
                </a:ext>
              </a:extLst>
            </xdr:cNvPr>
            <xdr:cNvSpPr txBox="1"/>
          </xdr:nvSpPr>
          <xdr:spPr>
            <a:xfrm>
              <a:off x="2515690658" y="19380200"/>
              <a:ext cx="1009075" cy="2709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ctr" rtl="0"/>
              <a:r>
                <a:rPr lang="en-US" sz="1200" b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n-US" sz="1200" b="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r>
                        <a:rPr lang="en-US" sz="12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+mn-cs"/>
                        </a:rPr>
                        <m:t>𝐾</m:t>
                      </m:r>
                    </m:e>
                    <m:sub>
                      <m:r>
                        <a:rPr lang="en-US" sz="1200" b="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Times New Roman" pitchFamily="18" charset="0"/>
                        </a:rPr>
                        <m:t>𝐷𝑒𝑠𝑖𝑔𝑛</m:t>
                      </m:r>
                    </m:sub>
                  </m:sSub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  <a:cs typeface="Times New Roman" pitchFamily="18" charset="0"/>
                    </a:rPr>
                    <m:t> 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</m:oMath>
              </a14:m>
              <a:endParaRPr lang="en-US" sz="1200" b="0">
                <a:solidFill>
                  <a:sysClr val="windowText" lastClr="000000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51" name="TextBox 50">
              <a:extLst>
                <a:ext uri="{FF2B5EF4-FFF2-40B4-BE49-F238E27FC236}">
                  <a16:creationId xmlns:a16="http://schemas.microsoft.com/office/drawing/2014/main" id="{16C2FF11-26CD-4886-A3A0-741CE3E531CB}"/>
                </a:ext>
              </a:extLst>
            </xdr:cNvPr>
            <xdr:cNvSpPr txBox="1"/>
          </xdr:nvSpPr>
          <xdr:spPr>
            <a:xfrm>
              <a:off x="2515690658" y="19380200"/>
              <a:ext cx="1009075" cy="2709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ctr" rtl="0"/>
              <a:r>
                <a:rPr lang="en-US" sz="1200" b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𝐾</a:t>
              </a:r>
              <a:r>
                <a:rPr lang="en-US" sz="12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_</a:t>
              </a:r>
              <a:r>
                <a:rPr lang="en-U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𝐷𝑒𝑠𝑖𝑔𝑛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 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endParaRPr lang="en-US" sz="1200" b="0">
                <a:solidFill>
                  <a:sysClr val="windowText" lastClr="000000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27</xdr:col>
      <xdr:colOff>127000</xdr:colOff>
      <xdr:row>127</xdr:row>
      <xdr:rowOff>50802</xdr:rowOff>
    </xdr:from>
    <xdr:ext cx="1888055" cy="2624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TextBox 51">
              <a:extLst>
                <a:ext uri="{FF2B5EF4-FFF2-40B4-BE49-F238E27FC236}">
                  <a16:creationId xmlns:a16="http://schemas.microsoft.com/office/drawing/2014/main" id="{AA29CA40-F61D-465C-B52F-4A2B8C200C32}"/>
                </a:ext>
              </a:extLst>
            </xdr:cNvPr>
            <xdr:cNvSpPr txBox="1"/>
          </xdr:nvSpPr>
          <xdr:spPr>
            <a:xfrm>
              <a:off x="2514075078" y="20015202"/>
              <a:ext cx="1888055" cy="2624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𝑚𝑖𝑛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0</m:t>
                    </m:r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.</m:t>
                    </m:r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044</m:t>
                    </m:r>
                    <m:sSub>
                      <m:sSubPr>
                        <m:ctrlP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𝑆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𝐷𝑆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.</m:t>
                    </m:r>
                    <m:sSub>
                      <m:sSubPr>
                        <m:ctrlP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𝐼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𝑒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≥</m:t>
                    </m:r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0</m:t>
                    </m:r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.</m:t>
                    </m:r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01</m:t>
                    </m:r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  </m:t>
                    </m:r>
                  </m:oMath>
                </m:oMathPara>
              </a14:m>
              <a:endParaRPr lang="en-US" sz="1200" b="0" i="1"/>
            </a:p>
          </xdr:txBody>
        </xdr:sp>
      </mc:Choice>
      <mc:Fallback xmlns="">
        <xdr:sp macro="" textlink="">
          <xdr:nvSpPr>
            <xdr:cNvPr id="52" name="TextBox 51">
              <a:extLst>
                <a:ext uri="{FF2B5EF4-FFF2-40B4-BE49-F238E27FC236}">
                  <a16:creationId xmlns:a16="http://schemas.microsoft.com/office/drawing/2014/main" id="{AA29CA40-F61D-465C-B52F-4A2B8C200C32}"/>
                </a:ext>
              </a:extLst>
            </xdr:cNvPr>
            <xdr:cNvSpPr txBox="1"/>
          </xdr:nvSpPr>
          <xdr:spPr>
            <a:xfrm>
              <a:off x="2514075078" y="20015202"/>
              <a:ext cx="1888055" cy="2624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𝐶_𝑚𝑖𝑛=0.044𝑆_𝐷𝑆.𝐼_𝑒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≥0.01  </a:t>
              </a:r>
              <a:endParaRPr lang="en-US" sz="1200" b="0" i="1"/>
            </a:p>
          </xdr:txBody>
        </xdr:sp>
      </mc:Fallback>
    </mc:AlternateContent>
    <xdr:clientData/>
  </xdr:oneCellAnchor>
  <xdr:oneCellAnchor>
    <xdr:from>
      <xdr:col>22</xdr:col>
      <xdr:colOff>93132</xdr:colOff>
      <xdr:row>127</xdr:row>
      <xdr:rowOff>42333</xdr:rowOff>
    </xdr:from>
    <xdr:ext cx="651910" cy="23706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" name="TextBox 43">
              <a:extLst>
                <a:ext uri="{FF2B5EF4-FFF2-40B4-BE49-F238E27FC236}">
                  <a16:creationId xmlns:a16="http://schemas.microsoft.com/office/drawing/2014/main" id="{F3DBD7DA-4100-42B4-84BF-C7CB13D85924}"/>
                </a:ext>
              </a:extLst>
            </xdr:cNvPr>
            <xdr:cNvSpPr txBox="1"/>
          </xdr:nvSpPr>
          <xdr:spPr>
            <a:xfrm>
              <a:off x="2516107091" y="20006733"/>
              <a:ext cx="651910" cy="2370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𝑚𝑖𝑛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</m:oMath>
                </m:oMathPara>
              </a14:m>
              <a:endParaRPr lang="en-US" sz="1200" b="0" i="1"/>
            </a:p>
          </xdr:txBody>
        </xdr:sp>
      </mc:Choice>
      <mc:Fallback xmlns="">
        <xdr:sp macro="" textlink="">
          <xdr:nvSpPr>
            <xdr:cNvPr id="44" name="TextBox 43">
              <a:extLst>
                <a:ext uri="{FF2B5EF4-FFF2-40B4-BE49-F238E27FC236}">
                  <a16:creationId xmlns:a16="http://schemas.microsoft.com/office/drawing/2014/main" id="{F3DBD7DA-4100-42B4-84BF-C7CB13D85924}"/>
                </a:ext>
              </a:extLst>
            </xdr:cNvPr>
            <xdr:cNvSpPr txBox="1"/>
          </xdr:nvSpPr>
          <xdr:spPr>
            <a:xfrm>
              <a:off x="2516107091" y="20006733"/>
              <a:ext cx="651910" cy="2370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𝐶_𝑚𝑖𝑛=</a:t>
              </a:r>
              <a:endParaRPr lang="en-US" sz="1200" b="0" i="1"/>
            </a:p>
          </xdr:txBody>
        </xdr:sp>
      </mc:Fallback>
    </mc:AlternateContent>
    <xdr:clientData/>
  </xdr:oneCellAnchor>
  <xdr:oneCellAnchor>
    <xdr:from>
      <xdr:col>38</xdr:col>
      <xdr:colOff>143934</xdr:colOff>
      <xdr:row>149</xdr:row>
      <xdr:rowOff>67734</xdr:rowOff>
    </xdr:from>
    <xdr:ext cx="277786" cy="1766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" name="TextBox 52">
              <a:extLst>
                <a:ext uri="{FF2B5EF4-FFF2-40B4-BE49-F238E27FC236}">
                  <a16:creationId xmlns:a16="http://schemas.microsoft.com/office/drawing/2014/main" id="{C5349F3F-9B32-42F2-AA87-382088AF41B1}"/>
                </a:ext>
              </a:extLst>
            </xdr:cNvPr>
            <xdr:cNvSpPr txBox="1"/>
          </xdr:nvSpPr>
          <xdr:spPr>
            <a:xfrm>
              <a:off x="2513992013" y="20489334"/>
              <a:ext cx="277786" cy="1766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𝑇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𝑥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53" name="TextBox 52">
              <a:extLst>
                <a:ext uri="{FF2B5EF4-FFF2-40B4-BE49-F238E27FC236}">
                  <a16:creationId xmlns:a16="http://schemas.microsoft.com/office/drawing/2014/main" id="{C5349F3F-9B32-42F2-AA87-382088AF41B1}"/>
                </a:ext>
              </a:extLst>
            </xdr:cNvPr>
            <xdr:cNvSpPr txBox="1"/>
          </xdr:nvSpPr>
          <xdr:spPr>
            <a:xfrm>
              <a:off x="2513992013" y="20489334"/>
              <a:ext cx="277786" cy="1766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:r>
                <a:rPr lang="en-US" sz="1100" b="0" i="0">
                  <a:latin typeface="Cambria Math" panose="02040503050406030204" pitchFamily="18" charset="0"/>
                </a:rPr>
                <a:t>𝑇_𝑥=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29</xdr:col>
      <xdr:colOff>101601</xdr:colOff>
      <xdr:row>149</xdr:row>
      <xdr:rowOff>59267</xdr:rowOff>
    </xdr:from>
    <xdr:ext cx="592666" cy="22013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TextBox 53">
              <a:extLst>
                <a:ext uri="{FF2B5EF4-FFF2-40B4-BE49-F238E27FC236}">
                  <a16:creationId xmlns:a16="http://schemas.microsoft.com/office/drawing/2014/main" id="{D3FAD1DA-55CE-4D8D-93C2-EBB0BF465A5E}"/>
                </a:ext>
              </a:extLst>
            </xdr:cNvPr>
            <xdr:cNvSpPr txBox="1"/>
          </xdr:nvSpPr>
          <xdr:spPr>
            <a:xfrm>
              <a:off x="2515091066" y="22309667"/>
              <a:ext cx="592666" cy="2201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d>
                          <m:dPr>
                            <m:ctrlPr>
                              <a:rPr lang="en-US" sz="12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n-US" sz="12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𝑆</m:t>
                                </m:r>
                              </m:e>
                              <m:sub>
                                <m:r>
                                  <a:rPr lang="en-US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𝑎</m:t>
                                </m:r>
                              </m:sub>
                            </m:sSub>
                          </m:e>
                        </m:d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𝑥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</m:oMath>
                </m:oMathPara>
              </a14:m>
              <a:endParaRPr lang="en-US" sz="1200"/>
            </a:p>
          </xdr:txBody>
        </xdr:sp>
      </mc:Choice>
      <mc:Fallback xmlns="">
        <xdr:sp macro="" textlink="">
          <xdr:nvSpPr>
            <xdr:cNvPr id="54" name="TextBox 53">
              <a:extLst>
                <a:ext uri="{FF2B5EF4-FFF2-40B4-BE49-F238E27FC236}">
                  <a16:creationId xmlns:a16="http://schemas.microsoft.com/office/drawing/2014/main" id="{D3FAD1DA-55CE-4D8D-93C2-EBB0BF465A5E}"/>
                </a:ext>
              </a:extLst>
            </xdr:cNvPr>
            <xdr:cNvSpPr txBox="1"/>
          </xdr:nvSpPr>
          <xdr:spPr>
            <a:xfrm>
              <a:off x="2515091066" y="22309667"/>
              <a:ext cx="592666" cy="2201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𝑆_𝑎 )_𝑥=</a:t>
              </a:r>
              <a:endParaRPr lang="en-US" sz="1200"/>
            </a:p>
          </xdr:txBody>
        </xdr:sp>
      </mc:Fallback>
    </mc:AlternateContent>
    <xdr:clientData/>
  </xdr:oneCellAnchor>
  <xdr:oneCellAnchor>
    <xdr:from>
      <xdr:col>34</xdr:col>
      <xdr:colOff>84665</xdr:colOff>
      <xdr:row>151</xdr:row>
      <xdr:rowOff>8466</xdr:rowOff>
    </xdr:from>
    <xdr:ext cx="999064" cy="3290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TextBox 54">
              <a:extLst>
                <a:ext uri="{FF2B5EF4-FFF2-40B4-BE49-F238E27FC236}">
                  <a16:creationId xmlns:a16="http://schemas.microsoft.com/office/drawing/2014/main" id="{44DAEFF0-0478-4DE6-B124-6836580DC072}"/>
                </a:ext>
              </a:extLst>
            </xdr:cNvPr>
            <xdr:cNvSpPr txBox="1"/>
          </xdr:nvSpPr>
          <xdr:spPr>
            <a:xfrm>
              <a:off x="2513939604" y="21954066"/>
              <a:ext cx="999064" cy="3290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cs typeface="Times New Roman" pitchFamily="18" charset="0"/>
                          </a:rPr>
                        </m:ctrlPr>
                      </m:sSubPr>
                      <m:e>
                        <m:d>
                          <m:dPr>
                            <m:ctrlPr>
                              <a:rPr lang="en-US" sz="120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  <a:cs typeface="Times New Roman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n-US" sz="120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  <a:cs typeface="Times New Roman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n-US" sz="1200" b="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  <a:cs typeface="Times New Roman" pitchFamily="18" charset="0"/>
                                  </a:rPr>
                                  <m:t>𝐶</m:t>
                                </m:r>
                              </m:e>
                              <m:sub>
                                <m:r>
                                  <a:rPr lang="en-US" sz="1200" b="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  <a:cs typeface="Times New Roman" pitchFamily="18" charset="0"/>
                                  </a:rPr>
                                  <m:t>𝐷𝑟𝑖𝑓𝑡</m:t>
                                </m:r>
                              </m:sub>
                            </m:sSub>
                          </m:e>
                        </m:d>
                      </m:e>
                      <m:sub>
                        <m:r>
                          <a:rPr lang="en-U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cs typeface="Times New Roman" pitchFamily="18" charset="0"/>
                          </a:rPr>
                          <m:t>𝑋</m:t>
                        </m:r>
                      </m:sub>
                    </m:sSub>
                    <m:r>
                      <a:rPr lang="en-US" sz="1200" i="1" baseline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cs typeface="Times New Roman" pitchFamily="18" charset="0"/>
                      </a:rPr>
                      <m:t> </m:t>
                    </m:r>
                    <m:r>
                      <a:rPr lang="en-US" sz="1200" b="0" i="1" baseline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200">
                <a:solidFill>
                  <a:sysClr val="windowText" lastClr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55" name="TextBox 54">
              <a:extLst>
                <a:ext uri="{FF2B5EF4-FFF2-40B4-BE49-F238E27FC236}">
                  <a16:creationId xmlns:a16="http://schemas.microsoft.com/office/drawing/2014/main" id="{44DAEFF0-0478-4DE6-B124-6836580DC072}"/>
                </a:ext>
              </a:extLst>
            </xdr:cNvPr>
            <xdr:cNvSpPr txBox="1"/>
          </xdr:nvSpPr>
          <xdr:spPr>
            <a:xfrm>
              <a:off x="2513939604" y="21954066"/>
              <a:ext cx="999064" cy="3290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(</a:t>
              </a:r>
              <a:r>
                <a:rPr lang="en-U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𝐶_𝐷𝑟𝑖𝑓𝑡 )_𝑋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=</a:t>
              </a:r>
              <a:endParaRPr lang="en-US" sz="1200">
                <a:solidFill>
                  <a:sysClr val="windowText" lastClr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42332</xdr:colOff>
      <xdr:row>150</xdr:row>
      <xdr:rowOff>152399</xdr:rowOff>
    </xdr:from>
    <xdr:ext cx="942880" cy="3093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TextBox 55">
              <a:extLst>
                <a:ext uri="{FF2B5EF4-FFF2-40B4-BE49-F238E27FC236}">
                  <a16:creationId xmlns:a16="http://schemas.microsoft.com/office/drawing/2014/main" id="{B098FD1A-209C-4FEC-A2F8-D5933EBEBDC1}"/>
                </a:ext>
              </a:extLst>
            </xdr:cNvPr>
            <xdr:cNvSpPr txBox="1"/>
          </xdr:nvSpPr>
          <xdr:spPr>
            <a:xfrm>
              <a:off x="2518610121" y="21945599"/>
              <a:ext cx="942880" cy="3093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Times New Roman" pitchFamily="18" charset="0"/>
                          </a:rPr>
                        </m:ctrlPr>
                      </m:sSubPr>
                      <m:e>
                        <m:d>
                          <m:dPr>
                            <m:ctrlP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  <a:cs typeface="+mn-cs"/>
                                  </a:rPr>
                                  <m:t>𝐾</m:t>
                                </m:r>
                              </m:e>
                              <m:sub>
                                <m:r>
                                  <a:rPr lang="en-US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  <a:cs typeface="+mn-cs"/>
                                  </a:rPr>
                                  <m:t>𝐷𝑟𝑖𝑓𝑡</m:t>
                                </m:r>
                              </m:sub>
                            </m:sSub>
                          </m:e>
                        </m:d>
                      </m:e>
                      <m:sub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Times New Roman" pitchFamily="18" charset="0"/>
                          </a:rPr>
                          <m:t>𝑋</m:t>
                        </m:r>
                      </m:sub>
                    </m:sSub>
                    <m:r>
                      <a:rPr lang="en-US" sz="1100" i="1" baseline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  <a:cs typeface="Times New Roman" pitchFamily="18" charset="0"/>
                      </a:rPr>
                      <m:t> </m:t>
                    </m:r>
                    <m:r>
                      <a:rPr lang="en-US" sz="1100" b="0" i="1" baseline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100">
                <a:solidFill>
                  <a:sysClr val="windowText" lastClr="000000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56" name="TextBox 55">
              <a:extLst>
                <a:ext uri="{FF2B5EF4-FFF2-40B4-BE49-F238E27FC236}">
                  <a16:creationId xmlns:a16="http://schemas.microsoft.com/office/drawing/2014/main" id="{B098FD1A-209C-4FEC-A2F8-D5933EBEBDC1}"/>
                </a:ext>
              </a:extLst>
            </xdr:cNvPr>
            <xdr:cNvSpPr txBox="1"/>
          </xdr:nvSpPr>
          <xdr:spPr>
            <a:xfrm>
              <a:off x="2518610121" y="21945599"/>
              <a:ext cx="942880" cy="3093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𝐾_𝐷𝑟𝑖𝑓𝑡 )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_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𝑋</a:t>
              </a:r>
              <a:r>
                <a:rPr lang="en-US" sz="11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endParaRPr lang="en-US" sz="1100">
                <a:solidFill>
                  <a:sysClr val="windowText" lastClr="000000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38</xdr:col>
      <xdr:colOff>110066</xdr:colOff>
      <xdr:row>157</xdr:row>
      <xdr:rowOff>67734</xdr:rowOff>
    </xdr:from>
    <xdr:ext cx="31326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TextBox 56">
              <a:extLst>
                <a:ext uri="{FF2B5EF4-FFF2-40B4-BE49-F238E27FC236}">
                  <a16:creationId xmlns:a16="http://schemas.microsoft.com/office/drawing/2014/main" id="{D09503FA-A1A6-407E-B0D9-E36A7FB94F19}"/>
                </a:ext>
              </a:extLst>
            </xdr:cNvPr>
            <xdr:cNvSpPr txBox="1"/>
          </xdr:nvSpPr>
          <xdr:spPr>
            <a:xfrm>
              <a:off x="2513990400" y="21251334"/>
              <a:ext cx="31326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𝑇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𝑌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57" name="TextBox 56">
              <a:extLst>
                <a:ext uri="{FF2B5EF4-FFF2-40B4-BE49-F238E27FC236}">
                  <a16:creationId xmlns:a16="http://schemas.microsoft.com/office/drawing/2014/main" id="{D09503FA-A1A6-407E-B0D9-E36A7FB94F19}"/>
                </a:ext>
              </a:extLst>
            </xdr:cNvPr>
            <xdr:cNvSpPr txBox="1"/>
          </xdr:nvSpPr>
          <xdr:spPr>
            <a:xfrm>
              <a:off x="2513990400" y="21251334"/>
              <a:ext cx="31326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:r>
                <a:rPr lang="en-US" sz="1100" b="0" i="0">
                  <a:latin typeface="Cambria Math" panose="02040503050406030204" pitchFamily="18" charset="0"/>
                </a:rPr>
                <a:t>𝑇_𝑌=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29</xdr:col>
      <xdr:colOff>127000</xdr:colOff>
      <xdr:row>157</xdr:row>
      <xdr:rowOff>50799</xdr:rowOff>
    </xdr:from>
    <xdr:ext cx="592666" cy="22013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TextBox 57">
              <a:extLst>
                <a:ext uri="{FF2B5EF4-FFF2-40B4-BE49-F238E27FC236}">
                  <a16:creationId xmlns:a16="http://schemas.microsoft.com/office/drawing/2014/main" id="{D94FAE18-6CD8-45C2-8FD6-0F38305E0C65}"/>
                </a:ext>
              </a:extLst>
            </xdr:cNvPr>
            <xdr:cNvSpPr txBox="1"/>
          </xdr:nvSpPr>
          <xdr:spPr>
            <a:xfrm>
              <a:off x="2515065667" y="23520399"/>
              <a:ext cx="592666" cy="2201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d>
                          <m:dPr>
                            <m:ctrlPr>
                              <a:rPr lang="en-US" sz="12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n-US" sz="12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𝑆</m:t>
                                </m:r>
                              </m:e>
                              <m:sub>
                                <m:r>
                                  <a:rPr lang="en-US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𝑎</m:t>
                                </m:r>
                              </m:sub>
                            </m:sSub>
                          </m:e>
                        </m:d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𝑌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</m:oMath>
                </m:oMathPara>
              </a14:m>
              <a:endParaRPr lang="en-US" sz="1200"/>
            </a:p>
          </xdr:txBody>
        </xdr:sp>
      </mc:Choice>
      <mc:Fallback xmlns="">
        <xdr:sp macro="" textlink="">
          <xdr:nvSpPr>
            <xdr:cNvPr id="58" name="TextBox 57">
              <a:extLst>
                <a:ext uri="{FF2B5EF4-FFF2-40B4-BE49-F238E27FC236}">
                  <a16:creationId xmlns:a16="http://schemas.microsoft.com/office/drawing/2014/main" id="{D94FAE18-6CD8-45C2-8FD6-0F38305E0C65}"/>
                </a:ext>
              </a:extLst>
            </xdr:cNvPr>
            <xdr:cNvSpPr txBox="1"/>
          </xdr:nvSpPr>
          <xdr:spPr>
            <a:xfrm>
              <a:off x="2515065667" y="23520399"/>
              <a:ext cx="592666" cy="2201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𝑆_𝑎 )_𝑌=</a:t>
              </a:r>
              <a:endParaRPr lang="en-US" sz="1200"/>
            </a:p>
          </xdr:txBody>
        </xdr:sp>
      </mc:Fallback>
    </mc:AlternateContent>
    <xdr:clientData/>
  </xdr:oneCellAnchor>
  <xdr:oneCellAnchor>
    <xdr:from>
      <xdr:col>34</xdr:col>
      <xdr:colOff>135467</xdr:colOff>
      <xdr:row>158</xdr:row>
      <xdr:rowOff>127000</xdr:rowOff>
    </xdr:from>
    <xdr:ext cx="1024465" cy="3290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TextBox 58">
              <a:extLst>
                <a:ext uri="{FF2B5EF4-FFF2-40B4-BE49-F238E27FC236}">
                  <a16:creationId xmlns:a16="http://schemas.microsoft.com/office/drawing/2014/main" id="{B01AA061-77FB-4A21-B47F-1CF48F43EA1B}"/>
                </a:ext>
              </a:extLst>
            </xdr:cNvPr>
            <xdr:cNvSpPr txBox="1"/>
          </xdr:nvSpPr>
          <xdr:spPr>
            <a:xfrm>
              <a:off x="2513863401" y="23139400"/>
              <a:ext cx="1024465" cy="3290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200">
                  <a:solidFill>
                    <a:sysClr val="windowText" lastClr="000000"/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n-US" sz="12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d>
                        <m:dPr>
                          <m:ctrlPr>
                            <a:rPr lang="en-US" sz="1200" i="1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  <a:cs typeface="Times New Roman" pitchFamily="18" charset="0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n-US" sz="120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</m:ctrlPr>
                            </m:sSubPr>
                            <m:e>
                              <m:r>
                                <a:rPr lang="en-US" sz="1200" b="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  <m:t>𝐶</m:t>
                              </m:r>
                            </m:e>
                            <m:sub>
                              <m:r>
                                <a:rPr lang="en-US" sz="1200" b="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  <m:t>𝐷𝑟𝑖𝑓𝑡</m:t>
                              </m:r>
                            </m:sub>
                          </m:sSub>
                        </m:e>
                      </m:d>
                    </m:e>
                    <m:sub>
                      <m:r>
                        <a:rPr lang="en-US" sz="1200" b="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𝑌</m:t>
                      </m:r>
                    </m:sub>
                  </m:sSub>
                  <m:r>
                    <a:rPr lang="en-US" sz="120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cs typeface="Times New Roman" pitchFamily="18" charset="0"/>
                    </a:rPr>
                    <m:t> 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US" sz="1200">
                <a:solidFill>
                  <a:sysClr val="windowText" lastClr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59" name="TextBox 58">
              <a:extLst>
                <a:ext uri="{FF2B5EF4-FFF2-40B4-BE49-F238E27FC236}">
                  <a16:creationId xmlns:a16="http://schemas.microsoft.com/office/drawing/2014/main" id="{B01AA061-77FB-4A21-B47F-1CF48F43EA1B}"/>
                </a:ext>
              </a:extLst>
            </xdr:cNvPr>
            <xdr:cNvSpPr txBox="1"/>
          </xdr:nvSpPr>
          <xdr:spPr>
            <a:xfrm>
              <a:off x="2513863401" y="23139400"/>
              <a:ext cx="1024465" cy="3290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200">
                  <a:solidFill>
                    <a:sysClr val="windowText" lastClr="000000"/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(</a:t>
              </a:r>
              <a:r>
                <a:rPr lang="en-U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𝐶_𝐷𝑟𝑖𝑓𝑡 )_𝑌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=</a:t>
              </a:r>
              <a:endParaRPr lang="en-US" sz="1200">
                <a:solidFill>
                  <a:sysClr val="windowText" lastClr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76200</xdr:colOff>
      <xdr:row>159</xdr:row>
      <xdr:rowOff>8466</xdr:rowOff>
    </xdr:from>
    <xdr:ext cx="968280" cy="3093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TextBox 59">
              <a:extLst>
                <a:ext uri="{FF2B5EF4-FFF2-40B4-BE49-F238E27FC236}">
                  <a16:creationId xmlns:a16="http://schemas.microsoft.com/office/drawing/2014/main" id="{CCEA248E-92F7-4C71-B2B9-03D29A83F2CA}"/>
                </a:ext>
              </a:extLst>
            </xdr:cNvPr>
            <xdr:cNvSpPr txBox="1"/>
          </xdr:nvSpPr>
          <xdr:spPr>
            <a:xfrm>
              <a:off x="2518550853" y="23173266"/>
              <a:ext cx="968280" cy="3093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n-US" sz="11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d>
                        <m:dPr>
                          <m:ctrlPr>
                            <a:rPr lang="en-US" sz="11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+mn-cs"/>
                                </a:rPr>
                                <m:t>𝐾</m:t>
                              </m:r>
                            </m:e>
                            <m:sub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+mn-cs"/>
                                </a:rPr>
                                <m:t>𝐷𝑟𝑖𝑓𝑡</m:t>
                              </m:r>
                            </m:sub>
                          </m:sSub>
                        </m:e>
                      </m:d>
                    </m:e>
                    <m:sub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+mn-cs"/>
                        </a:rPr>
                        <m:t>𝑌</m:t>
                      </m:r>
                    </m:sub>
                  </m:sSub>
                  <m:r>
                    <a:rPr lang="en-US" sz="110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  <a:cs typeface="Times New Roman" pitchFamily="18" charset="0"/>
                    </a:rPr>
                    <m:t> </m:t>
                  </m:r>
                  <m:r>
                    <a:rPr lang="en-US" sz="11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</m:oMath>
              </a14:m>
              <a:endParaRPr lang="en-US" sz="1100">
                <a:solidFill>
                  <a:sysClr val="windowText" lastClr="000000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60" name="TextBox 59">
              <a:extLst>
                <a:ext uri="{FF2B5EF4-FFF2-40B4-BE49-F238E27FC236}">
                  <a16:creationId xmlns:a16="http://schemas.microsoft.com/office/drawing/2014/main" id="{CCEA248E-92F7-4C71-B2B9-03D29A83F2CA}"/>
                </a:ext>
              </a:extLst>
            </xdr:cNvPr>
            <xdr:cNvSpPr txBox="1"/>
          </xdr:nvSpPr>
          <xdr:spPr>
            <a:xfrm>
              <a:off x="2518550853" y="23173266"/>
              <a:ext cx="968280" cy="3093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𝐾_𝐷𝑟𝑖𝑓𝑡 )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_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𝑌</a:t>
              </a:r>
              <a:r>
                <a:rPr lang="en-US" sz="1100" b="0" i="0" baseline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 </a:t>
              </a:r>
              <a:r>
                <a:rPr lang="en-US" sz="110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endParaRPr lang="en-US" sz="1100">
                <a:solidFill>
                  <a:sysClr val="windowText" lastClr="000000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24</xdr:col>
      <xdr:colOff>135467</xdr:colOff>
      <xdr:row>108</xdr:row>
      <xdr:rowOff>118535</xdr:rowOff>
    </xdr:from>
    <xdr:ext cx="2531531" cy="43179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TextBox 60">
              <a:extLst>
                <a:ext uri="{FF2B5EF4-FFF2-40B4-BE49-F238E27FC236}">
                  <a16:creationId xmlns:a16="http://schemas.microsoft.com/office/drawing/2014/main" id="{97D8E676-A544-45F0-B70E-59571ED1BA52}"/>
                </a:ext>
              </a:extLst>
            </xdr:cNvPr>
            <xdr:cNvSpPr txBox="1"/>
          </xdr:nvSpPr>
          <xdr:spPr>
            <a:xfrm>
              <a:off x="2513880335" y="16577735"/>
              <a:ext cx="2531531" cy="4317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𝑆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sSub>
                      <m:sSubPr>
                        <m:ctrlP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𝑆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𝐷𝑆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.</m:t>
                    </m:r>
                    <m:d>
                      <m:dPr>
                        <m:ctrlP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0</m:t>
                        </m:r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4</m:t>
                        </m:r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0</m:t>
                        </m:r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6</m:t>
                        </m:r>
                        <m:f>
                          <m:fPr>
                            <m:ctrlPr>
                              <a:rPr lang="en-US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US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𝑇</m:t>
                            </m:r>
                          </m:num>
                          <m:den>
                            <m:sSub>
                              <m:sSubPr>
                                <m:ctrlPr>
                                  <a:rPr lang="en-US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𝑇</m:t>
                                </m:r>
                              </m:e>
                              <m:sub>
                                <m:r>
                                  <a:rPr lang="en-US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0</m:t>
                                </m:r>
                              </m:sub>
                            </m:sSub>
                          </m:den>
                        </m:f>
                      </m:e>
                    </m:d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    </m:t>
                    </m:r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0</m:t>
                    </m:r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≤</m:t>
                    </m:r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𝑇</m:t>
                    </m:r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≤</m:t>
                    </m:r>
                    <m:sSub>
                      <m:sSubPr>
                        <m:ctrlP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𝑇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0</m:t>
                        </m:r>
                      </m:sub>
                    </m:sSub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61" name="TextBox 60">
              <a:extLst>
                <a:ext uri="{FF2B5EF4-FFF2-40B4-BE49-F238E27FC236}">
                  <a16:creationId xmlns:a16="http://schemas.microsoft.com/office/drawing/2014/main" id="{97D8E676-A544-45F0-B70E-59571ED1BA52}"/>
                </a:ext>
              </a:extLst>
            </xdr:cNvPr>
            <xdr:cNvSpPr txBox="1"/>
          </xdr:nvSpPr>
          <xdr:spPr>
            <a:xfrm>
              <a:off x="2513880335" y="16577735"/>
              <a:ext cx="2531531" cy="4317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𝑆_𝑎=𝑆_𝐷𝑆.(0.4+0.6 𝑇/𝑇_0 )      0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≤𝑇≤𝑇_0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5</xdr:col>
      <xdr:colOff>101598</xdr:colOff>
      <xdr:row>109</xdr:row>
      <xdr:rowOff>76201</xdr:rowOff>
    </xdr:from>
    <xdr:ext cx="2150530" cy="2624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TextBox 61">
              <a:extLst>
                <a:ext uri="{FF2B5EF4-FFF2-40B4-BE49-F238E27FC236}">
                  <a16:creationId xmlns:a16="http://schemas.microsoft.com/office/drawing/2014/main" id="{97E8477F-A333-421E-9A8A-F4738362F268}"/>
                </a:ext>
              </a:extLst>
            </xdr:cNvPr>
            <xdr:cNvSpPr txBox="1"/>
          </xdr:nvSpPr>
          <xdr:spPr>
            <a:xfrm>
              <a:off x="2517190805" y="16687801"/>
              <a:ext cx="2150530" cy="2624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𝑆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sSub>
                      <m:sSubPr>
                        <m:ctrlP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𝑆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𝐷𝑆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                   </m:t>
                    </m:r>
                    <m:sSub>
                      <m:sSubPr>
                        <m:ctrlP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𝑇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0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&lt;</m:t>
                    </m:r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𝑇</m:t>
                    </m:r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≤</m:t>
                    </m:r>
                    <m:sSub>
                      <m:sSubPr>
                        <m:ctrlP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𝑇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𝑆</m:t>
                        </m:r>
                      </m:sub>
                    </m:sSub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62" name="TextBox 61">
              <a:extLst>
                <a:ext uri="{FF2B5EF4-FFF2-40B4-BE49-F238E27FC236}">
                  <a16:creationId xmlns:a16="http://schemas.microsoft.com/office/drawing/2014/main" id="{97E8477F-A333-421E-9A8A-F4738362F268}"/>
                </a:ext>
              </a:extLst>
            </xdr:cNvPr>
            <xdr:cNvSpPr txBox="1"/>
          </xdr:nvSpPr>
          <xdr:spPr>
            <a:xfrm>
              <a:off x="2517190805" y="16687801"/>
              <a:ext cx="2150530" cy="2624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𝑆_𝑎=𝑆_𝐷𝑆                     𝑇_0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&lt;𝑇≤𝑇_𝑆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25</xdr:col>
      <xdr:colOff>0</xdr:colOff>
      <xdr:row>111</xdr:row>
      <xdr:rowOff>127003</xdr:rowOff>
    </xdr:from>
    <xdr:ext cx="2556930" cy="43179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TextBox 62">
              <a:extLst>
                <a:ext uri="{FF2B5EF4-FFF2-40B4-BE49-F238E27FC236}">
                  <a16:creationId xmlns:a16="http://schemas.microsoft.com/office/drawing/2014/main" id="{FAB64263-E734-46FD-B534-B27A4FE0064A}"/>
                </a:ext>
              </a:extLst>
            </xdr:cNvPr>
            <xdr:cNvSpPr txBox="1"/>
          </xdr:nvSpPr>
          <xdr:spPr>
            <a:xfrm>
              <a:off x="2513838003" y="17043403"/>
              <a:ext cx="2556930" cy="4317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𝑆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𝑆</m:t>
                            </m:r>
                          </m:e>
                          <m:sub>
                            <m:r>
                              <a:rPr lang="en-US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𝐷</m:t>
                            </m:r>
                            <m:r>
                              <a:rPr lang="en-US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</m:sub>
                        </m:sSub>
                      </m:num>
                      <m:den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𝑇</m:t>
                        </m:r>
                      </m:den>
                    </m:f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                              </m:t>
                    </m:r>
                    <m:sSub>
                      <m:sSubPr>
                        <m:ctrlP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𝑇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𝐿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&gt;</m:t>
                    </m:r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𝑇</m:t>
                    </m:r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&gt;</m:t>
                    </m:r>
                    <m:sSub>
                      <m:sSubPr>
                        <m:ctrlP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𝑇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𝑆</m:t>
                        </m:r>
                      </m:sub>
                    </m:sSub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63" name="TextBox 62">
              <a:extLst>
                <a:ext uri="{FF2B5EF4-FFF2-40B4-BE49-F238E27FC236}">
                  <a16:creationId xmlns:a16="http://schemas.microsoft.com/office/drawing/2014/main" id="{FAB64263-E734-46FD-B534-B27A4FE0064A}"/>
                </a:ext>
              </a:extLst>
            </xdr:cNvPr>
            <xdr:cNvSpPr txBox="1"/>
          </xdr:nvSpPr>
          <xdr:spPr>
            <a:xfrm>
              <a:off x="2513838003" y="17043403"/>
              <a:ext cx="2556930" cy="4317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𝑆_𝑎=𝑆_𝐷1/𝑇                                𝑇_𝐿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&gt;𝑇&gt;𝑇_𝑆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6</xdr:col>
      <xdr:colOff>0</xdr:colOff>
      <xdr:row>111</xdr:row>
      <xdr:rowOff>101603</xdr:rowOff>
    </xdr:from>
    <xdr:ext cx="2099726" cy="43179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TextBox 63">
              <a:extLst>
                <a:ext uri="{FF2B5EF4-FFF2-40B4-BE49-F238E27FC236}">
                  <a16:creationId xmlns:a16="http://schemas.microsoft.com/office/drawing/2014/main" id="{DABCEB5D-3DF6-4275-83DA-045F48B6CBCE}"/>
                </a:ext>
              </a:extLst>
            </xdr:cNvPr>
            <xdr:cNvSpPr txBox="1"/>
          </xdr:nvSpPr>
          <xdr:spPr>
            <a:xfrm>
              <a:off x="2517190807" y="17018003"/>
              <a:ext cx="2099726" cy="4317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𝑆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sSub>
                      <m:sSubPr>
                        <m:ctrlP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𝑆</m:t>
                        </m:r>
                      </m:e>
                      <m:sub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𝐷𝑆</m:t>
                        </m:r>
                      </m:sub>
                    </m:sSub>
                    <m:f>
                      <m:fPr>
                        <m:ctrlP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𝑇</m:t>
                            </m:r>
                          </m:e>
                          <m:sub>
                            <m:r>
                              <a:rPr lang="en-US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𝐿</m:t>
                            </m:r>
                          </m:sub>
                        </m:sSub>
                      </m:num>
                      <m:den>
                        <m:sSup>
                          <m:sSupPr>
                            <m:ctrlPr>
                              <a:rPr lang="en-US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US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𝑇</m:t>
                            </m:r>
                          </m:e>
                          <m:sup>
                            <m:r>
                              <a:rPr lang="en-US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den>
                    </m:f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                      </m:t>
                    </m:r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𝑇</m:t>
                    </m:r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≥</m:t>
                    </m:r>
                    <m:sSub>
                      <m:sSubPr>
                        <m:ctrlP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𝑇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𝐿</m:t>
                        </m:r>
                      </m:sub>
                    </m:sSub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64" name="TextBox 63">
              <a:extLst>
                <a:ext uri="{FF2B5EF4-FFF2-40B4-BE49-F238E27FC236}">
                  <a16:creationId xmlns:a16="http://schemas.microsoft.com/office/drawing/2014/main" id="{DABCEB5D-3DF6-4275-83DA-045F48B6CBCE}"/>
                </a:ext>
              </a:extLst>
            </xdr:cNvPr>
            <xdr:cNvSpPr txBox="1"/>
          </xdr:nvSpPr>
          <xdr:spPr>
            <a:xfrm>
              <a:off x="2517190807" y="17018003"/>
              <a:ext cx="2099726" cy="4317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𝑆_𝑎=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𝑆_𝐷𝑆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 𝑇_𝐿/𝑇^2                         </a:t>
              </a:r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𝑇≥𝑇_𝐿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29</xdr:col>
      <xdr:colOff>16933</xdr:colOff>
      <xdr:row>50</xdr:row>
      <xdr:rowOff>50800</xdr:rowOff>
    </xdr:from>
    <xdr:ext cx="321732" cy="2370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TextBox 64">
              <a:extLst>
                <a:ext uri="{FF2B5EF4-FFF2-40B4-BE49-F238E27FC236}">
                  <a16:creationId xmlns:a16="http://schemas.microsoft.com/office/drawing/2014/main" id="{96537743-7BCC-4FD9-8062-219CB6CE373D}"/>
                </a:ext>
              </a:extLst>
            </xdr:cNvPr>
            <xdr:cNvSpPr txBox="1"/>
          </xdr:nvSpPr>
          <xdr:spPr>
            <a:xfrm>
              <a:off x="2515446668" y="7366000"/>
              <a:ext cx="321732" cy="2370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𝑆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</m:t>
                        </m:r>
                      </m:sub>
                    </m:sSub>
                    <m:r>
                      <a:rPr lang="en-US" sz="1200" b="0" i="1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</m:oMath>
                </m:oMathPara>
              </a14:m>
              <a:endParaRPr lang="en-US" sz="1400">
                <a:solidFill>
                  <a:schemeClr val="tx1">
                    <a:lumMod val="65000"/>
                    <a:lumOff val="35000"/>
                  </a:schemeClr>
                </a:solidFill>
              </a:endParaRPr>
            </a:p>
          </xdr:txBody>
        </xdr:sp>
      </mc:Choice>
      <mc:Fallback xmlns="">
        <xdr:sp macro="" textlink="">
          <xdr:nvSpPr>
            <xdr:cNvPr id="65" name="TextBox 64">
              <a:extLst>
                <a:ext uri="{FF2B5EF4-FFF2-40B4-BE49-F238E27FC236}">
                  <a16:creationId xmlns:a16="http://schemas.microsoft.com/office/drawing/2014/main" id="{96537743-7BCC-4FD9-8062-219CB6CE373D}"/>
                </a:ext>
              </a:extLst>
            </xdr:cNvPr>
            <xdr:cNvSpPr txBox="1"/>
          </xdr:nvSpPr>
          <xdr:spPr>
            <a:xfrm>
              <a:off x="2515446668" y="7366000"/>
              <a:ext cx="321732" cy="2370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b="0" i="0">
                  <a:solidFill>
                    <a:schemeClr val="tx1">
                      <a:lumMod val="65000"/>
                      <a:lumOff val="35000"/>
                    </a:schemeClr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𝑆_𝑎=</a:t>
              </a:r>
              <a:endParaRPr lang="en-US" sz="1400">
                <a:solidFill>
                  <a:schemeClr val="tx1">
                    <a:lumMod val="65000"/>
                    <a:lumOff val="35000"/>
                  </a:schemeClr>
                </a:solidFill>
              </a:endParaRPr>
            </a:p>
          </xdr:txBody>
        </xdr:sp>
      </mc:Fallback>
    </mc:AlternateContent>
    <xdr:clientData/>
  </xdr:oneCellAnchor>
  <xdr:oneCellAnchor>
    <xdr:from>
      <xdr:col>28</xdr:col>
      <xdr:colOff>25400</xdr:colOff>
      <xdr:row>52</xdr:row>
      <xdr:rowOff>76201</xdr:rowOff>
    </xdr:from>
    <xdr:ext cx="1710268" cy="5672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TextBox 65">
              <a:extLst>
                <a:ext uri="{FF2B5EF4-FFF2-40B4-BE49-F238E27FC236}">
                  <a16:creationId xmlns:a16="http://schemas.microsoft.com/office/drawing/2014/main" id="{BB7CC636-205C-4DA6-9C41-7532B8FE15C0}"/>
                </a:ext>
              </a:extLst>
            </xdr:cNvPr>
            <xdr:cNvSpPr txBox="1"/>
          </xdr:nvSpPr>
          <xdr:spPr>
            <a:xfrm>
              <a:off x="2514202065" y="7696201"/>
              <a:ext cx="1710268" cy="5672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𝝆</m:t>
                        </m:r>
                        <m:r>
                          <a:rPr lang="en-US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.</m:t>
                        </m:r>
                        <m:r>
                          <a:rPr lang="en-US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𝑪</m:t>
                        </m:r>
                      </m:e>
                      <m:sub>
                        <m:r>
                          <a:rPr lang="en-US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𝑫𝒆𝒔𝒊𝒈𝒏</m:t>
                        </m:r>
                      </m:sub>
                    </m:sSub>
                    <m:r>
                      <a:rPr lang="en-US" sz="12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en-US" sz="12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𝝆</m:t>
                    </m:r>
                    <m:r>
                      <a:rPr lang="en-US" sz="12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.</m:t>
                    </m:r>
                    <m:f>
                      <m:fPr>
                        <m:ctrlPr>
                          <a:rPr lang="en-US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12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2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𝑺</m:t>
                            </m:r>
                          </m:e>
                          <m:sub>
                            <m:r>
                              <a:rPr lang="en-US" sz="12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𝒂</m:t>
                            </m:r>
                          </m:sub>
                        </m:sSub>
                      </m:num>
                      <m:den>
                        <m:d>
                          <m:dPr>
                            <m:ctrlPr>
                              <a:rPr lang="en-US" sz="12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f>
                              <m:fPr>
                                <m:type m:val="skw"/>
                                <m:ctrlPr>
                                  <a:rPr lang="en-US" sz="12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sSub>
                                  <m:sSubPr>
                                    <m:ctrlPr>
                                      <a:rPr lang="en-US" sz="12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2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𝑹</m:t>
                                    </m:r>
                                  </m:e>
                                  <m:sub>
                                    <m:r>
                                      <a:rPr lang="en-US" sz="12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𝒖</m:t>
                                    </m:r>
                                  </m:sub>
                                </m:sSub>
                              </m:num>
                              <m:den>
                                <m:sSub>
                                  <m:sSubPr>
                                    <m:ctrlPr>
                                      <a:rPr lang="en-US" sz="12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2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𝑰</m:t>
                                    </m:r>
                                  </m:e>
                                  <m:sub>
                                    <m:r>
                                      <a:rPr lang="en-US" sz="12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𝒆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</m:den>
                    </m:f>
                    <m:r>
                      <a:rPr lang="en-US" sz="12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</m:oMath>
                </m:oMathPara>
              </a14:m>
              <a:endParaRPr lang="en-US" sz="1200" b="1"/>
            </a:p>
          </xdr:txBody>
        </xdr:sp>
      </mc:Choice>
      <mc:Fallback xmlns="">
        <xdr:sp macro="" textlink="">
          <xdr:nvSpPr>
            <xdr:cNvPr id="66" name="TextBox 65">
              <a:extLst>
                <a:ext uri="{FF2B5EF4-FFF2-40B4-BE49-F238E27FC236}">
                  <a16:creationId xmlns:a16="http://schemas.microsoft.com/office/drawing/2014/main" id="{BB7CC636-205C-4DA6-9C41-7532B8FE15C0}"/>
                </a:ext>
              </a:extLst>
            </xdr:cNvPr>
            <xdr:cNvSpPr txBox="1"/>
          </xdr:nvSpPr>
          <xdr:spPr>
            <a:xfrm>
              <a:off x="2514202065" y="7696201"/>
              <a:ext cx="1710268" cy="5672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n-US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𝝆.</a:t>
              </a:r>
              <a:r>
                <a:rPr lang="en-US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𝑪〗_𝑫𝒆𝒔𝒊𝒈𝒏=</a:t>
              </a:r>
              <a:r>
                <a:rPr lang="en-US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𝝆.</a:t>
              </a:r>
              <a:r>
                <a:rPr lang="en-US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𝑺_𝒂/((𝑹_𝒖⁄𝑰_𝒆 ) )=</a:t>
              </a:r>
              <a:endParaRPr lang="en-US" sz="1200" b="1"/>
            </a:p>
          </xdr:txBody>
        </xdr:sp>
      </mc:Fallback>
    </mc:AlternateContent>
    <xdr:clientData/>
  </xdr:oneCellAnchor>
  <xdr:oneCellAnchor>
    <xdr:from>
      <xdr:col>33</xdr:col>
      <xdr:colOff>84667</xdr:colOff>
      <xdr:row>60</xdr:row>
      <xdr:rowOff>67734</xdr:rowOff>
    </xdr:from>
    <xdr:ext cx="1024465" cy="3290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F3CCB291-2704-46C6-93E8-3EA383BAC231}"/>
                </a:ext>
              </a:extLst>
            </xdr:cNvPr>
            <xdr:cNvSpPr txBox="1"/>
          </xdr:nvSpPr>
          <xdr:spPr>
            <a:xfrm>
              <a:off x="2514066601" y="9211734"/>
              <a:ext cx="1024465" cy="3290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200">
                  <a:solidFill>
                    <a:sysClr val="windowText" lastClr="000000"/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n-US" sz="12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d>
                        <m:dPr>
                          <m:ctrlPr>
                            <a:rPr lang="en-US" sz="1200" i="1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  <a:cs typeface="Times New Roman" pitchFamily="18" charset="0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n-US" sz="120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</m:ctrlPr>
                            </m:sSubPr>
                            <m:e>
                              <m:r>
                                <a:rPr lang="en-US" sz="1200" b="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  <m:t>𝐶</m:t>
                              </m:r>
                            </m:e>
                            <m:sub>
                              <m:r>
                                <a:rPr lang="en-US" sz="1200" b="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  <m:t>𝐷𝑟𝑖𝑓𝑡</m:t>
                              </m:r>
                            </m:sub>
                          </m:sSub>
                        </m:e>
                      </m:d>
                    </m:e>
                    <m:sub>
                      <m:r>
                        <a:rPr lang="en-US" sz="1200" b="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𝑋</m:t>
                      </m:r>
                    </m:sub>
                  </m:sSub>
                  <m:r>
                    <a:rPr lang="en-US" sz="120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cs typeface="Times New Roman" pitchFamily="18" charset="0"/>
                    </a:rPr>
                    <m:t> 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US" sz="1200">
                <a:solidFill>
                  <a:sysClr val="windowText" lastClr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F3CCB291-2704-46C6-93E8-3EA383BAC231}"/>
                </a:ext>
              </a:extLst>
            </xdr:cNvPr>
            <xdr:cNvSpPr txBox="1"/>
          </xdr:nvSpPr>
          <xdr:spPr>
            <a:xfrm>
              <a:off x="2514066601" y="9211734"/>
              <a:ext cx="1024465" cy="3290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200">
                  <a:solidFill>
                    <a:sysClr val="windowText" lastClr="000000"/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(</a:t>
              </a:r>
              <a:r>
                <a:rPr lang="en-U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𝐶_𝐷𝑟𝑖𝑓𝑡 )_𝑋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=</a:t>
              </a:r>
              <a:endParaRPr lang="en-US" sz="1200">
                <a:solidFill>
                  <a:sysClr val="windowText" lastClr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18</xdr:col>
      <xdr:colOff>59266</xdr:colOff>
      <xdr:row>60</xdr:row>
      <xdr:rowOff>59268</xdr:rowOff>
    </xdr:from>
    <xdr:ext cx="1151464" cy="3290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D4E998F9-0813-45BC-8BFB-24C64C275B0D}"/>
                </a:ext>
              </a:extLst>
            </xdr:cNvPr>
            <xdr:cNvSpPr txBox="1"/>
          </xdr:nvSpPr>
          <xdr:spPr>
            <a:xfrm>
              <a:off x="2516251003" y="9203268"/>
              <a:ext cx="1151464" cy="3290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20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  <a:cs typeface="Times New Roman" pitchFamily="18" charset="0"/>
                      </a:rPr>
                      <m:t>𝜌</m:t>
                    </m:r>
                    <m:r>
                      <a:rPr lang="en-US" sz="12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  <a:cs typeface="Times New Roman" pitchFamily="18" charset="0"/>
                      </a:rPr>
                      <m:t>.</m:t>
                    </m:r>
                    <m:sSub>
                      <m:sSub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cs typeface="Times New Roman" pitchFamily="18" charset="0"/>
                          </a:rPr>
                        </m:ctrlPr>
                      </m:sSubPr>
                      <m:e>
                        <m:d>
                          <m:dPr>
                            <m:ctrlPr>
                              <a:rPr lang="en-US" sz="120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  <a:cs typeface="Times New Roman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n-US" sz="120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  <a:cs typeface="Times New Roman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n-US" sz="1200" b="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  <a:cs typeface="Times New Roman" pitchFamily="18" charset="0"/>
                                  </a:rPr>
                                  <m:t>𝐶</m:t>
                                </m:r>
                              </m:e>
                              <m:sub>
                                <m:r>
                                  <a:rPr lang="en-US" sz="1200" b="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  <a:cs typeface="Times New Roman" pitchFamily="18" charset="0"/>
                                  </a:rPr>
                                  <m:t>𝐷𝑟𝑖𝑓𝑡</m:t>
                                </m:r>
                              </m:sub>
                            </m:sSub>
                          </m:e>
                        </m:d>
                      </m:e>
                      <m:sub>
                        <m:r>
                          <a:rPr lang="en-U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cs typeface="Times New Roman" pitchFamily="18" charset="0"/>
                          </a:rPr>
                          <m:t>𝑋</m:t>
                        </m:r>
                      </m:sub>
                    </m:sSub>
                    <m:r>
                      <a:rPr lang="en-US" sz="1200" i="1" baseline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cs typeface="Times New Roman" pitchFamily="18" charset="0"/>
                      </a:rPr>
                      <m:t> </m:t>
                    </m:r>
                    <m:r>
                      <a:rPr lang="en-US" sz="1200" b="0" i="1" baseline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200">
                <a:solidFill>
                  <a:sysClr val="windowText" lastClr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D4E998F9-0813-45BC-8BFB-24C64C275B0D}"/>
                </a:ext>
              </a:extLst>
            </xdr:cNvPr>
            <xdr:cNvSpPr txBox="1"/>
          </xdr:nvSpPr>
          <xdr:spPr>
            <a:xfrm>
              <a:off x="2516251003" y="9203268"/>
              <a:ext cx="1151464" cy="3290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𝜌</a:t>
              </a:r>
              <a:r>
                <a:rPr lang="en-U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.</a:t>
              </a:r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(</a:t>
              </a:r>
              <a:r>
                <a:rPr lang="en-U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𝐶_𝐷𝑟𝑖𝑓𝑡 )_𝑋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=</a:t>
              </a:r>
              <a:endParaRPr lang="en-US" sz="1200">
                <a:solidFill>
                  <a:sysClr val="windowText" lastClr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59267</xdr:colOff>
      <xdr:row>60</xdr:row>
      <xdr:rowOff>76200</xdr:rowOff>
    </xdr:from>
    <xdr:ext cx="942880" cy="3093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4C816458-2D90-4680-8803-D59AD4253F65}"/>
                </a:ext>
              </a:extLst>
            </xdr:cNvPr>
            <xdr:cNvSpPr txBox="1"/>
          </xdr:nvSpPr>
          <xdr:spPr>
            <a:xfrm>
              <a:off x="2518440786" y="9220200"/>
              <a:ext cx="942880" cy="3093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Times New Roman" pitchFamily="18" charset="0"/>
                          </a:rPr>
                        </m:ctrlPr>
                      </m:sSubPr>
                      <m:e>
                        <m:d>
                          <m:dPr>
                            <m:ctrlP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  <a:cs typeface="+mn-cs"/>
                                  </a:rPr>
                                  <m:t>𝐾</m:t>
                                </m:r>
                              </m:e>
                              <m:sub>
                                <m:r>
                                  <a:rPr lang="en-US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  <a:cs typeface="+mn-cs"/>
                                  </a:rPr>
                                  <m:t>𝐷𝑟𝑖𝑓𝑡</m:t>
                                </m:r>
                              </m:sub>
                            </m:sSub>
                          </m:e>
                        </m:d>
                      </m:e>
                      <m:sub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Times New Roman" pitchFamily="18" charset="0"/>
                          </a:rPr>
                          <m:t>𝑋</m:t>
                        </m:r>
                      </m:sub>
                    </m:sSub>
                    <m:r>
                      <a:rPr lang="en-US" sz="1100" i="1" baseline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  <a:cs typeface="Times New Roman" pitchFamily="18" charset="0"/>
                      </a:rPr>
                      <m:t> </m:t>
                    </m:r>
                    <m:r>
                      <a:rPr lang="en-US" sz="1100" b="0" i="1" baseline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100">
                <a:solidFill>
                  <a:sysClr val="windowText" lastClr="000000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4C816458-2D90-4680-8803-D59AD4253F65}"/>
                </a:ext>
              </a:extLst>
            </xdr:cNvPr>
            <xdr:cNvSpPr txBox="1"/>
          </xdr:nvSpPr>
          <xdr:spPr>
            <a:xfrm>
              <a:off x="2518440786" y="9220200"/>
              <a:ext cx="942880" cy="3093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𝐾_𝐷𝑟𝑖𝑓𝑡 )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_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𝑋</a:t>
              </a:r>
              <a:r>
                <a:rPr lang="en-US" sz="11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endParaRPr lang="en-US" sz="1100">
                <a:solidFill>
                  <a:sysClr val="windowText" lastClr="000000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19</xdr:col>
      <xdr:colOff>50798</xdr:colOff>
      <xdr:row>150</xdr:row>
      <xdr:rowOff>152399</xdr:rowOff>
    </xdr:from>
    <xdr:ext cx="1134535" cy="3290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85223C31-D70F-4FD5-B272-DABB2F5B8278}"/>
                </a:ext>
              </a:extLst>
            </xdr:cNvPr>
            <xdr:cNvSpPr txBox="1"/>
          </xdr:nvSpPr>
          <xdr:spPr>
            <a:xfrm>
              <a:off x="2516124000" y="21945599"/>
              <a:ext cx="1134535" cy="3290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20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  <a:cs typeface="Times New Roman" pitchFamily="18" charset="0"/>
                      </a:rPr>
                      <m:t>𝜌</m:t>
                    </m:r>
                    <m:r>
                      <a:rPr lang="en-US" sz="12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  <a:cs typeface="Times New Roman" pitchFamily="18" charset="0"/>
                      </a:rPr>
                      <m:t>.</m:t>
                    </m:r>
                    <m:sSub>
                      <m:sSub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cs typeface="Times New Roman" pitchFamily="18" charset="0"/>
                          </a:rPr>
                        </m:ctrlPr>
                      </m:sSubPr>
                      <m:e>
                        <m:d>
                          <m:dPr>
                            <m:ctrlPr>
                              <a:rPr lang="en-US" sz="120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  <a:cs typeface="Times New Roman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n-US" sz="120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  <a:cs typeface="Times New Roman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n-US" sz="1200" b="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  <a:cs typeface="Times New Roman" pitchFamily="18" charset="0"/>
                                  </a:rPr>
                                  <m:t>𝐶</m:t>
                                </m:r>
                              </m:e>
                              <m:sub>
                                <m:r>
                                  <a:rPr lang="en-US" sz="1200" b="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  <a:cs typeface="Times New Roman" pitchFamily="18" charset="0"/>
                                  </a:rPr>
                                  <m:t>𝐷𝑟𝑖𝑓𝑡</m:t>
                                </m:r>
                              </m:sub>
                            </m:sSub>
                          </m:e>
                        </m:d>
                      </m:e>
                      <m:sub>
                        <m:r>
                          <a:rPr lang="en-U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cs typeface="Times New Roman" pitchFamily="18" charset="0"/>
                          </a:rPr>
                          <m:t>𝑋</m:t>
                        </m:r>
                      </m:sub>
                    </m:sSub>
                    <m:r>
                      <a:rPr lang="en-US" sz="1200" i="1" baseline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cs typeface="Times New Roman" pitchFamily="18" charset="0"/>
                      </a:rPr>
                      <m:t> </m:t>
                    </m:r>
                    <m:r>
                      <a:rPr lang="en-US" sz="1200" b="0" i="1" baseline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200">
                <a:solidFill>
                  <a:sysClr val="windowText" lastClr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85223C31-D70F-4FD5-B272-DABB2F5B8278}"/>
                </a:ext>
              </a:extLst>
            </xdr:cNvPr>
            <xdr:cNvSpPr txBox="1"/>
          </xdr:nvSpPr>
          <xdr:spPr>
            <a:xfrm>
              <a:off x="2516124000" y="21945599"/>
              <a:ext cx="1134535" cy="3290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𝜌</a:t>
              </a:r>
              <a:r>
                <a:rPr lang="en-U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.</a:t>
              </a:r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(</a:t>
              </a:r>
              <a:r>
                <a:rPr lang="en-U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𝐶_𝐷𝑟𝑖𝑓𝑡 )_𝑋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=</a:t>
              </a:r>
              <a:endParaRPr lang="en-US" sz="1200">
                <a:solidFill>
                  <a:sysClr val="windowText" lastClr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18</xdr:col>
      <xdr:colOff>59267</xdr:colOff>
      <xdr:row>159</xdr:row>
      <xdr:rowOff>0</xdr:rowOff>
    </xdr:from>
    <xdr:ext cx="1159932" cy="3290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F0DCCF3A-CCFA-409E-A549-DB4B9849FAF4}"/>
                </a:ext>
              </a:extLst>
            </xdr:cNvPr>
            <xdr:cNvSpPr txBox="1"/>
          </xdr:nvSpPr>
          <xdr:spPr>
            <a:xfrm>
              <a:off x="2516242534" y="23164800"/>
              <a:ext cx="1159932" cy="3290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200">
                  <a:solidFill>
                    <a:sysClr val="windowText" lastClr="000000"/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l-GR" sz="1200" i="1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  <a:cs typeface="Times New Roman" pitchFamily="18" charset="0"/>
                    </a:rPr>
                    <m:t>ρ</m:t>
                  </m:r>
                  <m:r>
                    <a:rPr lang="en-US" sz="1200" b="0" i="1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  <a:cs typeface="Times New Roman" pitchFamily="18" charset="0"/>
                    </a:rPr>
                    <m:t>.</m:t>
                  </m:r>
                  <m:sSub>
                    <m:sSubPr>
                      <m:ctrlPr>
                        <a:rPr lang="en-US" sz="12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d>
                        <m:dPr>
                          <m:ctrlPr>
                            <a:rPr lang="en-US" sz="1200" i="1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  <a:cs typeface="Times New Roman" pitchFamily="18" charset="0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n-US" sz="120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</m:ctrlPr>
                            </m:sSubPr>
                            <m:e>
                              <m:r>
                                <a:rPr lang="en-US" sz="1200" b="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  <m:t>𝐶</m:t>
                              </m:r>
                            </m:e>
                            <m:sub>
                              <m:r>
                                <a:rPr lang="en-US" sz="1200" b="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  <m:t>𝐷𝑟𝑖𝑓𝑡</m:t>
                              </m:r>
                            </m:sub>
                          </m:sSub>
                        </m:e>
                      </m:d>
                    </m:e>
                    <m:sub>
                      <m:r>
                        <a:rPr lang="en-US" sz="1200" b="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𝑌</m:t>
                      </m:r>
                    </m:sub>
                  </m:sSub>
                  <m:r>
                    <a:rPr lang="en-US" sz="120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cs typeface="Times New Roman" pitchFamily="18" charset="0"/>
                    </a:rPr>
                    <m:t> 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US" sz="1200">
                <a:solidFill>
                  <a:sysClr val="windowText" lastClr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F0DCCF3A-CCFA-409E-A549-DB4B9849FAF4}"/>
                </a:ext>
              </a:extLst>
            </xdr:cNvPr>
            <xdr:cNvSpPr txBox="1"/>
          </xdr:nvSpPr>
          <xdr:spPr>
            <a:xfrm>
              <a:off x="2516242534" y="23164800"/>
              <a:ext cx="1159932" cy="3290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200">
                  <a:solidFill>
                    <a:sysClr val="windowText" lastClr="000000"/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:r>
                <a:rPr lang="el-GR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ρ</a:t>
              </a:r>
              <a:r>
                <a:rPr lang="en-U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.</a:t>
              </a:r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(</a:t>
              </a:r>
              <a:r>
                <a:rPr lang="en-U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𝐶_𝐷𝑟𝑖𝑓𝑡 )_𝑌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=</a:t>
              </a:r>
              <a:endParaRPr lang="en-US" sz="1200">
                <a:solidFill>
                  <a:sysClr val="windowText" lastClr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33</xdr:col>
      <xdr:colOff>84667</xdr:colOff>
      <xdr:row>65</xdr:row>
      <xdr:rowOff>67734</xdr:rowOff>
    </xdr:from>
    <xdr:ext cx="1024465" cy="3290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F61DC2DC-5C5D-432D-9CFE-5FCB8D48D1F6}"/>
                </a:ext>
              </a:extLst>
            </xdr:cNvPr>
            <xdr:cNvSpPr txBox="1"/>
          </xdr:nvSpPr>
          <xdr:spPr>
            <a:xfrm>
              <a:off x="2514066601" y="9668934"/>
              <a:ext cx="1024465" cy="3290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200">
                  <a:solidFill>
                    <a:sysClr val="windowText" lastClr="000000"/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n-US" sz="12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</m:ctrlPr>
                    </m:sSubPr>
                    <m:e>
                      <m:d>
                        <m:dPr>
                          <m:ctrlPr>
                            <a:rPr lang="en-US" sz="1200" i="1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  <a:cs typeface="Times New Roman" pitchFamily="18" charset="0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n-US" sz="120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</m:ctrlPr>
                            </m:sSubPr>
                            <m:e>
                              <m:r>
                                <a:rPr lang="en-US" sz="1200" b="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  <m:t>𝐶</m:t>
                              </m:r>
                            </m:e>
                            <m:sub>
                              <m:r>
                                <a:rPr lang="en-US" sz="1200" b="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cs typeface="Times New Roman" pitchFamily="18" charset="0"/>
                                </a:rPr>
                                <m:t>𝐷𝑟𝑖𝑓𝑡</m:t>
                              </m:r>
                            </m:sub>
                          </m:sSub>
                        </m:e>
                      </m:d>
                    </m:e>
                    <m:sub>
                      <m:r>
                        <a:rPr lang="en-US" sz="1200" b="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cs typeface="Times New Roman" pitchFamily="18" charset="0"/>
                        </a:rPr>
                        <m:t>𝑌</m:t>
                      </m:r>
                    </m:sub>
                  </m:sSub>
                  <m:r>
                    <a:rPr lang="en-US" sz="120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cs typeface="Times New Roman" pitchFamily="18" charset="0"/>
                    </a:rPr>
                    <m:t> </m:t>
                  </m:r>
                  <m:r>
                    <a:rPr lang="en-US" sz="1200" b="0" i="1" baseline="0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US" sz="1200">
                <a:solidFill>
                  <a:sysClr val="windowText" lastClr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F61DC2DC-5C5D-432D-9CFE-5FCB8D48D1F6}"/>
                </a:ext>
              </a:extLst>
            </xdr:cNvPr>
            <xdr:cNvSpPr txBox="1"/>
          </xdr:nvSpPr>
          <xdr:spPr>
            <a:xfrm>
              <a:off x="2514066601" y="9668934"/>
              <a:ext cx="1024465" cy="3290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200">
                  <a:solidFill>
                    <a:sysClr val="windowText" lastClr="000000"/>
                  </a:solidFill>
                  <a:latin typeface="Times New Roman" pitchFamily="18" charset="0"/>
                  <a:cs typeface="Times New Roman" pitchFamily="18" charset="0"/>
                </a:rPr>
                <a:t> </a:t>
              </a:r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(</a:t>
              </a:r>
              <a:r>
                <a:rPr lang="en-U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𝐶_𝐷𝑟𝑖𝑓𝑡 )_𝑌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=</a:t>
              </a:r>
              <a:endParaRPr lang="en-US" sz="1200">
                <a:solidFill>
                  <a:sysClr val="windowText" lastClr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18</xdr:col>
      <xdr:colOff>59266</xdr:colOff>
      <xdr:row>65</xdr:row>
      <xdr:rowOff>59268</xdr:rowOff>
    </xdr:from>
    <xdr:ext cx="1151464" cy="3290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DA589937-5090-427E-921D-F0E26CAD53CA}"/>
                </a:ext>
              </a:extLst>
            </xdr:cNvPr>
            <xdr:cNvSpPr txBox="1"/>
          </xdr:nvSpPr>
          <xdr:spPr>
            <a:xfrm>
              <a:off x="2516251003" y="8898468"/>
              <a:ext cx="1151464" cy="3290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20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  <a:cs typeface="Times New Roman" pitchFamily="18" charset="0"/>
                      </a:rPr>
                      <m:t>𝜌</m:t>
                    </m:r>
                    <m:r>
                      <a:rPr lang="en-US" sz="12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  <a:cs typeface="Times New Roman" pitchFamily="18" charset="0"/>
                      </a:rPr>
                      <m:t>.</m:t>
                    </m:r>
                    <m:sSub>
                      <m:sSubPr>
                        <m:ctrlPr>
                          <a:rPr lang="en-US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cs typeface="Times New Roman" pitchFamily="18" charset="0"/>
                          </a:rPr>
                        </m:ctrlPr>
                      </m:sSubPr>
                      <m:e>
                        <m:d>
                          <m:dPr>
                            <m:ctrlPr>
                              <a:rPr lang="en-US" sz="120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  <a:cs typeface="Times New Roman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n-US" sz="120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  <a:cs typeface="Times New Roman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n-US" sz="1200" b="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  <a:cs typeface="Times New Roman" pitchFamily="18" charset="0"/>
                                  </a:rPr>
                                  <m:t>𝐶</m:t>
                                </m:r>
                              </m:e>
                              <m:sub>
                                <m:r>
                                  <a:rPr lang="en-US" sz="1200" b="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  <a:cs typeface="Times New Roman" pitchFamily="18" charset="0"/>
                                  </a:rPr>
                                  <m:t>𝐷𝑟𝑖𝑓𝑡</m:t>
                                </m:r>
                              </m:sub>
                            </m:sSub>
                          </m:e>
                        </m:d>
                      </m:e>
                      <m:sub>
                        <m:r>
                          <a:rPr lang="en-US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cs typeface="Times New Roman" pitchFamily="18" charset="0"/>
                          </a:rPr>
                          <m:t>𝑌</m:t>
                        </m:r>
                      </m:sub>
                    </m:sSub>
                    <m:r>
                      <a:rPr lang="en-US" sz="1200" i="1" baseline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cs typeface="Times New Roman" pitchFamily="18" charset="0"/>
                      </a:rPr>
                      <m:t> </m:t>
                    </m:r>
                    <m:r>
                      <a:rPr lang="en-US" sz="1200" b="0" i="1" baseline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200">
                <a:solidFill>
                  <a:sysClr val="windowText" lastClr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DA589937-5090-427E-921D-F0E26CAD53CA}"/>
                </a:ext>
              </a:extLst>
            </xdr:cNvPr>
            <xdr:cNvSpPr txBox="1"/>
          </xdr:nvSpPr>
          <xdr:spPr>
            <a:xfrm>
              <a:off x="2516251003" y="8898468"/>
              <a:ext cx="1151464" cy="3290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𝜌</a:t>
              </a:r>
              <a:r>
                <a:rPr lang="en-U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.</a:t>
              </a:r>
              <a:r>
                <a:rPr lang="en-US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(</a:t>
              </a:r>
              <a:r>
                <a:rPr lang="en-US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𝐶_𝐷𝑟𝑖𝑓𝑡 )_𝑌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2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=</a:t>
              </a:r>
              <a:endParaRPr lang="en-US" sz="1200">
                <a:solidFill>
                  <a:sysClr val="windowText" lastClr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59267</xdr:colOff>
      <xdr:row>65</xdr:row>
      <xdr:rowOff>76200</xdr:rowOff>
    </xdr:from>
    <xdr:ext cx="942880" cy="3093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E349621C-BAD3-4F23-B624-0D083C00A419}"/>
                </a:ext>
              </a:extLst>
            </xdr:cNvPr>
            <xdr:cNvSpPr txBox="1"/>
          </xdr:nvSpPr>
          <xdr:spPr>
            <a:xfrm>
              <a:off x="2518440786" y="9677400"/>
              <a:ext cx="942880" cy="3093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Times New Roman" pitchFamily="18" charset="0"/>
                          </a:rPr>
                        </m:ctrlPr>
                      </m:sSubPr>
                      <m:e>
                        <m:d>
                          <m:dPr>
                            <m:ctrlP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  <a:cs typeface="+mn-cs"/>
                                  </a:rPr>
                                  <m:t>𝐾</m:t>
                                </m:r>
                              </m:e>
                              <m:sub>
                                <m:r>
                                  <a:rPr lang="en-US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  <a:cs typeface="+mn-cs"/>
                                  </a:rPr>
                                  <m:t>𝐷𝑟𝑖𝑓𝑡</m:t>
                                </m:r>
                              </m:sub>
                            </m:sSub>
                          </m:e>
                        </m:d>
                      </m:e>
                      <m:sub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𝑌</m:t>
                        </m:r>
                      </m:sub>
                    </m:sSub>
                    <m:r>
                      <a:rPr lang="en-US" sz="1100" i="1" baseline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  <a:cs typeface="Times New Roman" pitchFamily="18" charset="0"/>
                      </a:rPr>
                      <m:t> </m:t>
                    </m:r>
                    <m:r>
                      <a:rPr lang="en-US" sz="1100" b="0" i="1" baseline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100">
                <a:solidFill>
                  <a:sysClr val="windowText" lastClr="000000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Times New Roman" pitchFamily="18" charset="0"/>
              </a:endParaRPr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E349621C-BAD3-4F23-B624-0D083C00A419}"/>
                </a:ext>
              </a:extLst>
            </xdr:cNvPr>
            <xdr:cNvSpPr txBox="1"/>
          </xdr:nvSpPr>
          <xdr:spPr>
            <a:xfrm>
              <a:off x="2518440786" y="9677400"/>
              <a:ext cx="942880" cy="3093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 rtl="0"/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𝐾_𝐷𝑟𝑖𝑓𝑡 )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_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𝑌</a:t>
              </a:r>
              <a:r>
                <a:rPr lang="en-US" sz="1100" b="0" i="0" baseline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 </a:t>
              </a:r>
              <a:r>
                <a:rPr lang="en-US" sz="110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Times New Roman" pitchFamily="18" charset="0"/>
                </a:rPr>
                <a:t> </a:t>
              </a:r>
              <a:r>
                <a:rPr lang="en-US" sz="1100" b="0" i="0" baseline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endParaRPr lang="en-US" sz="1100">
                <a:solidFill>
                  <a:sysClr val="windowText" lastClr="000000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Times New Roman" pitchFamily="18" charset="0"/>
              </a:endParaRPr>
            </a:p>
          </xdr:txBody>
        </xdr:sp>
      </mc:Fallback>
    </mc:AlternateContent>
    <xdr:clientData/>
  </xdr:oneCellAnchor>
  <xdr:oneCellAnchor>
    <xdr:from>
      <xdr:col>23</xdr:col>
      <xdr:colOff>67734</xdr:colOff>
      <xdr:row>149</xdr:row>
      <xdr:rowOff>50799</xdr:rowOff>
    </xdr:from>
    <xdr:ext cx="29233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CB717404-BE7F-464C-B2DE-66D69E7D23A8}"/>
                </a:ext>
              </a:extLst>
            </xdr:cNvPr>
            <xdr:cNvSpPr txBox="1"/>
          </xdr:nvSpPr>
          <xdr:spPr>
            <a:xfrm>
              <a:off x="2516339661" y="22301199"/>
              <a:ext cx="29233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𝑆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CB717404-BE7F-464C-B2DE-66D69E7D23A8}"/>
                </a:ext>
              </a:extLst>
            </xdr:cNvPr>
            <xdr:cNvSpPr txBox="1"/>
          </xdr:nvSpPr>
          <xdr:spPr>
            <a:xfrm>
              <a:off x="2516339661" y="22301199"/>
              <a:ext cx="29233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:r>
                <a:rPr lang="en-US" sz="1100" b="0" i="0">
                  <a:latin typeface="Cambria Math" panose="02040503050406030204" pitchFamily="18" charset="0"/>
                </a:rPr>
                <a:t>𝑆_1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23</xdr:col>
      <xdr:colOff>67734</xdr:colOff>
      <xdr:row>157</xdr:row>
      <xdr:rowOff>50799</xdr:rowOff>
    </xdr:from>
    <xdr:ext cx="29233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2220529A-A258-40DD-938E-2838AE8A76AA}"/>
                </a:ext>
              </a:extLst>
            </xdr:cNvPr>
            <xdr:cNvSpPr txBox="1"/>
          </xdr:nvSpPr>
          <xdr:spPr>
            <a:xfrm>
              <a:off x="2516339661" y="22301199"/>
              <a:ext cx="29233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𝑆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2220529A-A258-40DD-938E-2838AE8A76AA}"/>
                </a:ext>
              </a:extLst>
            </xdr:cNvPr>
            <xdr:cNvSpPr txBox="1"/>
          </xdr:nvSpPr>
          <xdr:spPr>
            <a:xfrm>
              <a:off x="2516339661" y="22301199"/>
              <a:ext cx="29233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r" rtl="1"/>
              <a:r>
                <a:rPr lang="en-US" sz="1100" b="0" i="0">
                  <a:latin typeface="Cambria Math" panose="02040503050406030204" pitchFamily="18" charset="0"/>
                </a:rPr>
                <a:t>𝑆_1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32</xdr:col>
      <xdr:colOff>118533</xdr:colOff>
      <xdr:row>165</xdr:row>
      <xdr:rowOff>59268</xdr:rowOff>
    </xdr:from>
    <xdr:ext cx="1193800" cy="2624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66D96A6A-B161-4500-B7D8-CBEA2B3CE49E}"/>
                </a:ext>
              </a:extLst>
            </xdr:cNvPr>
            <xdr:cNvSpPr txBox="1"/>
          </xdr:nvSpPr>
          <xdr:spPr>
            <a:xfrm>
              <a:off x="2514015800" y="24443268"/>
              <a:ext cx="1193800" cy="2624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𝑣𝑢𝑡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0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.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2</m:t>
                    </m:r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𝑆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𝐷𝑆</m:t>
                        </m:r>
                      </m:sub>
                    </m:sSub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𝑊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𝐷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66D96A6A-B161-4500-B7D8-CBEA2B3CE49E}"/>
                </a:ext>
              </a:extLst>
            </xdr:cNvPr>
            <xdr:cNvSpPr txBox="1"/>
          </xdr:nvSpPr>
          <xdr:spPr>
            <a:xfrm>
              <a:off x="2514015800" y="24443268"/>
              <a:ext cx="1193800" cy="2624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100" b="0" i="0">
                  <a:latin typeface="Cambria Math" panose="02040503050406030204" pitchFamily="18" charset="0"/>
                </a:rPr>
                <a:t>𝐹_𝑣𝑢𝑡=0.2𝑆_𝐷𝑆 𝑊_𝐷=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25</xdr:col>
      <xdr:colOff>110067</xdr:colOff>
      <xdr:row>165</xdr:row>
      <xdr:rowOff>59267</xdr:rowOff>
    </xdr:from>
    <xdr:ext cx="474133" cy="2539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D8BB9B61-97CB-4D07-AAA0-29B2330ED7F4}"/>
                </a:ext>
              </a:extLst>
            </xdr:cNvPr>
            <xdr:cNvSpPr txBox="1"/>
          </xdr:nvSpPr>
          <xdr:spPr>
            <a:xfrm>
              <a:off x="2515810733" y="24443267"/>
              <a:ext cx="474133" cy="2539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 xmlns:m="http://schemas.openxmlformats.org/officeDocument/2006/math">
                  <m:sSub>
                    <m:sSubPr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𝑊</m:t>
                      </m:r>
                    </m:e>
                    <m:sub>
                      <m:r>
                        <a:rPr lang="en-US" sz="1100" b="0" i="1">
                          <a:latin typeface="Cambria Math" panose="02040503050406030204" pitchFamily="18" charset="0"/>
                        </a:rPr>
                        <m:t>𝐷</m:t>
                      </m:r>
                    </m:sub>
                  </m:sSub>
                  <m:r>
                    <a:rPr lang="en-US" sz="1100" b="0" i="1">
                      <a:latin typeface="Cambria Math" panose="02040503050406030204" pitchFamily="18" charset="0"/>
                    </a:rPr>
                    <m:t> </m:t>
                  </m:r>
                </m:oMath>
              </a14:m>
              <a:r>
                <a:rPr lang="en-US" sz="1100"/>
                <a:t>=</a:t>
              </a:r>
            </a:p>
          </xdr:txBody>
        </xdr:sp>
      </mc:Choice>
      <mc:Fallback xmlns=""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D8BB9B61-97CB-4D07-AAA0-29B2330ED7F4}"/>
                </a:ext>
              </a:extLst>
            </xdr:cNvPr>
            <xdr:cNvSpPr txBox="1"/>
          </xdr:nvSpPr>
          <xdr:spPr>
            <a:xfrm>
              <a:off x="2515810733" y="24443267"/>
              <a:ext cx="474133" cy="2539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100" b="0" i="0">
                  <a:latin typeface="Cambria Math" panose="02040503050406030204" pitchFamily="18" charset="0"/>
                </a:rPr>
                <a:t>𝑊_𝐷  </a:t>
              </a:r>
              <a:r>
                <a:rPr lang="en-US" sz="1100"/>
                <a:t>=</a:t>
              </a:r>
            </a:p>
          </xdr:txBody>
        </xdr:sp>
      </mc:Fallback>
    </mc:AlternateContent>
    <xdr:clientData/>
  </xdr:oneCellAnchor>
  <xdr:oneCellAnchor>
    <xdr:from>
      <xdr:col>20</xdr:col>
      <xdr:colOff>127002</xdr:colOff>
      <xdr:row>165</xdr:row>
      <xdr:rowOff>67733</xdr:rowOff>
    </xdr:from>
    <xdr:ext cx="355599" cy="24553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0ED116C6-4B32-477D-9F52-77F07891EA1F}"/>
                </a:ext>
              </a:extLst>
            </xdr:cNvPr>
            <xdr:cNvSpPr txBox="1"/>
          </xdr:nvSpPr>
          <xdr:spPr>
            <a:xfrm>
              <a:off x="2516843666" y="25256066"/>
              <a:ext cx="355599" cy="2455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𝑊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𝐷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0ED116C6-4B32-477D-9F52-77F07891EA1F}"/>
                </a:ext>
              </a:extLst>
            </xdr:cNvPr>
            <xdr:cNvSpPr txBox="1"/>
          </xdr:nvSpPr>
          <xdr:spPr>
            <a:xfrm>
              <a:off x="2516843666" y="25256066"/>
              <a:ext cx="355599" cy="2455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100" b="0" i="0">
                  <a:latin typeface="Cambria Math" panose="02040503050406030204" pitchFamily="18" charset="0"/>
                </a:rPr>
                <a:t>𝑊_𝐷  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32</xdr:col>
      <xdr:colOff>8467</xdr:colOff>
      <xdr:row>167</xdr:row>
      <xdr:rowOff>76199</xdr:rowOff>
    </xdr:from>
    <xdr:ext cx="1303867" cy="3047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0078E29F-FF6F-4572-BAE5-069CB09A198D}"/>
                </a:ext>
              </a:extLst>
            </xdr:cNvPr>
            <xdr:cNvSpPr txBox="1"/>
          </xdr:nvSpPr>
          <xdr:spPr>
            <a:xfrm>
              <a:off x="2514015799" y="24764999"/>
              <a:ext cx="1303867" cy="3047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𝑣𝑢𝑐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0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.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65</m:t>
                    </m:r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𝑆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𝐷𝑆</m:t>
                        </m:r>
                      </m:sub>
                    </m:sSub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𝑊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𝐷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0078E29F-FF6F-4572-BAE5-069CB09A198D}"/>
                </a:ext>
              </a:extLst>
            </xdr:cNvPr>
            <xdr:cNvSpPr txBox="1"/>
          </xdr:nvSpPr>
          <xdr:spPr>
            <a:xfrm>
              <a:off x="2514015799" y="24764999"/>
              <a:ext cx="1303867" cy="3047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100" b="0" i="0">
                  <a:latin typeface="Cambria Math" panose="02040503050406030204" pitchFamily="18" charset="0"/>
                </a:rPr>
                <a:t>𝐹_𝑣𝑢𝑐=0.65𝑆_𝐷𝑆 𝑊_𝐷=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27</xdr:col>
      <xdr:colOff>8470</xdr:colOff>
      <xdr:row>167</xdr:row>
      <xdr:rowOff>50800</xdr:rowOff>
    </xdr:from>
    <xdr:ext cx="355599" cy="24553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TextBox 66">
              <a:extLst>
                <a:ext uri="{FF2B5EF4-FFF2-40B4-BE49-F238E27FC236}">
                  <a16:creationId xmlns:a16="http://schemas.microsoft.com/office/drawing/2014/main" id="{D7C7C67C-A1E2-420A-966D-6E6BC4644FFA}"/>
                </a:ext>
              </a:extLst>
            </xdr:cNvPr>
            <xdr:cNvSpPr txBox="1"/>
          </xdr:nvSpPr>
          <xdr:spPr>
            <a:xfrm>
              <a:off x="2515726064" y="24739600"/>
              <a:ext cx="355599" cy="2455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𝑊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𝐷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67" name="TextBox 66">
              <a:extLst>
                <a:ext uri="{FF2B5EF4-FFF2-40B4-BE49-F238E27FC236}">
                  <a16:creationId xmlns:a16="http://schemas.microsoft.com/office/drawing/2014/main" id="{D7C7C67C-A1E2-420A-966D-6E6BC4644FFA}"/>
                </a:ext>
              </a:extLst>
            </xdr:cNvPr>
            <xdr:cNvSpPr txBox="1"/>
          </xdr:nvSpPr>
          <xdr:spPr>
            <a:xfrm>
              <a:off x="2515726064" y="24739600"/>
              <a:ext cx="355599" cy="2455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100" b="0" i="0">
                  <a:latin typeface="Cambria Math" panose="02040503050406030204" pitchFamily="18" charset="0"/>
                </a:rPr>
                <a:t>𝑊_𝐷  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30</xdr:col>
      <xdr:colOff>101601</xdr:colOff>
      <xdr:row>72</xdr:row>
      <xdr:rowOff>67734</xdr:rowOff>
    </xdr:from>
    <xdr:ext cx="1193800" cy="2624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" name="TextBox 67">
              <a:extLst>
                <a:ext uri="{FF2B5EF4-FFF2-40B4-BE49-F238E27FC236}">
                  <a16:creationId xmlns:a16="http://schemas.microsoft.com/office/drawing/2014/main" id="{2AEDF3A4-46E8-4957-BFB8-E2B1AAF70EC6}"/>
                </a:ext>
              </a:extLst>
            </xdr:cNvPr>
            <xdr:cNvSpPr txBox="1"/>
          </xdr:nvSpPr>
          <xdr:spPr>
            <a:xfrm>
              <a:off x="2514337532" y="10888134"/>
              <a:ext cx="1193800" cy="2624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𝑣𝑢𝑡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0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.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2</m:t>
                    </m:r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𝑆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𝐷𝑆</m:t>
                        </m:r>
                      </m:sub>
                    </m:sSub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𝑊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𝐷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68" name="TextBox 67">
              <a:extLst>
                <a:ext uri="{FF2B5EF4-FFF2-40B4-BE49-F238E27FC236}">
                  <a16:creationId xmlns:a16="http://schemas.microsoft.com/office/drawing/2014/main" id="{2AEDF3A4-46E8-4957-BFB8-E2B1AAF70EC6}"/>
                </a:ext>
              </a:extLst>
            </xdr:cNvPr>
            <xdr:cNvSpPr txBox="1"/>
          </xdr:nvSpPr>
          <xdr:spPr>
            <a:xfrm>
              <a:off x="2514337532" y="10888134"/>
              <a:ext cx="1193800" cy="2624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100" b="0" i="0">
                  <a:latin typeface="Cambria Math" panose="02040503050406030204" pitchFamily="18" charset="0"/>
                </a:rPr>
                <a:t>𝐹_𝑣𝑢𝑡=0.2𝑆_𝐷𝑆 𝑊_𝐷=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25</xdr:col>
      <xdr:colOff>143934</xdr:colOff>
      <xdr:row>72</xdr:row>
      <xdr:rowOff>67733</xdr:rowOff>
    </xdr:from>
    <xdr:ext cx="355599" cy="24553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" name="TextBox 69">
              <a:extLst>
                <a:ext uri="{FF2B5EF4-FFF2-40B4-BE49-F238E27FC236}">
                  <a16:creationId xmlns:a16="http://schemas.microsoft.com/office/drawing/2014/main" id="{7456D795-2AC9-4DC7-86FA-38AA30E8F062}"/>
                </a:ext>
              </a:extLst>
            </xdr:cNvPr>
            <xdr:cNvSpPr txBox="1"/>
          </xdr:nvSpPr>
          <xdr:spPr>
            <a:xfrm>
              <a:off x="2515895400" y="10888133"/>
              <a:ext cx="355599" cy="2455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𝑊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𝐷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70" name="TextBox 69">
              <a:extLst>
                <a:ext uri="{FF2B5EF4-FFF2-40B4-BE49-F238E27FC236}">
                  <a16:creationId xmlns:a16="http://schemas.microsoft.com/office/drawing/2014/main" id="{7456D795-2AC9-4DC7-86FA-38AA30E8F062}"/>
                </a:ext>
              </a:extLst>
            </xdr:cNvPr>
            <xdr:cNvSpPr txBox="1"/>
          </xdr:nvSpPr>
          <xdr:spPr>
            <a:xfrm>
              <a:off x="2515895400" y="10888133"/>
              <a:ext cx="355599" cy="2455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100" b="0" i="0">
                  <a:latin typeface="Cambria Math" panose="02040503050406030204" pitchFamily="18" charset="0"/>
                </a:rPr>
                <a:t>𝑊_𝐷  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8</xdr:col>
      <xdr:colOff>101600</xdr:colOff>
      <xdr:row>72</xdr:row>
      <xdr:rowOff>67733</xdr:rowOff>
    </xdr:from>
    <xdr:ext cx="1303867" cy="22013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" name="TextBox 70">
              <a:extLst>
                <a:ext uri="{FF2B5EF4-FFF2-40B4-BE49-F238E27FC236}">
                  <a16:creationId xmlns:a16="http://schemas.microsoft.com/office/drawing/2014/main" id="{E21BA312-AE05-4C5D-8B33-67CE8CBF35FB}"/>
                </a:ext>
              </a:extLst>
            </xdr:cNvPr>
            <xdr:cNvSpPr txBox="1"/>
          </xdr:nvSpPr>
          <xdr:spPr>
            <a:xfrm>
              <a:off x="2517580266" y="10888133"/>
              <a:ext cx="1303867" cy="22013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𝑣𝑢𝑐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0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.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65</m:t>
                    </m:r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𝑆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𝐷𝑆</m:t>
                        </m:r>
                      </m:sub>
                    </m:sSub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𝑊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𝐷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71" name="TextBox 70">
              <a:extLst>
                <a:ext uri="{FF2B5EF4-FFF2-40B4-BE49-F238E27FC236}">
                  <a16:creationId xmlns:a16="http://schemas.microsoft.com/office/drawing/2014/main" id="{E21BA312-AE05-4C5D-8B33-67CE8CBF35FB}"/>
                </a:ext>
              </a:extLst>
            </xdr:cNvPr>
            <xdr:cNvSpPr txBox="1"/>
          </xdr:nvSpPr>
          <xdr:spPr>
            <a:xfrm>
              <a:off x="2517580266" y="10888133"/>
              <a:ext cx="1303867" cy="22013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100" b="0" i="0">
                  <a:latin typeface="Cambria Math" panose="02040503050406030204" pitchFamily="18" charset="0"/>
                </a:rPr>
                <a:t>𝐹_𝑣𝑢𝑐=0.65𝑆_𝐷𝑆 𝑊_𝐷=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3</xdr:col>
      <xdr:colOff>84666</xdr:colOff>
      <xdr:row>72</xdr:row>
      <xdr:rowOff>76200</xdr:rowOff>
    </xdr:from>
    <xdr:ext cx="355599" cy="24553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" name="TextBox 71">
              <a:extLst>
                <a:ext uri="{FF2B5EF4-FFF2-40B4-BE49-F238E27FC236}">
                  <a16:creationId xmlns:a16="http://schemas.microsoft.com/office/drawing/2014/main" id="{8EC56A24-56A4-400D-972E-905B8ABE4FE8}"/>
                </a:ext>
              </a:extLst>
            </xdr:cNvPr>
            <xdr:cNvSpPr txBox="1"/>
          </xdr:nvSpPr>
          <xdr:spPr>
            <a:xfrm>
              <a:off x="2519307468" y="10896600"/>
              <a:ext cx="355599" cy="2455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𝑊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𝐷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72" name="TextBox 71">
              <a:extLst>
                <a:ext uri="{FF2B5EF4-FFF2-40B4-BE49-F238E27FC236}">
                  <a16:creationId xmlns:a16="http://schemas.microsoft.com/office/drawing/2014/main" id="{8EC56A24-56A4-400D-972E-905B8ABE4FE8}"/>
                </a:ext>
              </a:extLst>
            </xdr:cNvPr>
            <xdr:cNvSpPr txBox="1"/>
          </xdr:nvSpPr>
          <xdr:spPr>
            <a:xfrm>
              <a:off x="2519307468" y="10896600"/>
              <a:ext cx="355599" cy="2455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100" b="0" i="0">
                  <a:latin typeface="Cambria Math" panose="02040503050406030204" pitchFamily="18" charset="0"/>
                </a:rPr>
                <a:t>𝑊_𝐷  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26</xdr:col>
      <xdr:colOff>93132</xdr:colOff>
      <xdr:row>74</xdr:row>
      <xdr:rowOff>50801</xdr:rowOff>
    </xdr:from>
    <xdr:ext cx="372534" cy="22013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" name="TextBox 72">
              <a:extLst>
                <a:ext uri="{FF2B5EF4-FFF2-40B4-BE49-F238E27FC236}">
                  <a16:creationId xmlns:a16="http://schemas.microsoft.com/office/drawing/2014/main" id="{B3C354D0-8A7F-451C-AD65-A86899C34013}"/>
                </a:ext>
              </a:extLst>
            </xdr:cNvPr>
            <xdr:cNvSpPr txBox="1"/>
          </xdr:nvSpPr>
          <xdr:spPr>
            <a:xfrm>
              <a:off x="2515946201" y="11938001"/>
              <a:ext cx="372534" cy="2201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solidFill>
                              <a:srgbClr val="C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solidFill>
                              <a:srgbClr val="C00000"/>
                            </a:solidFill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en-US" sz="1100" b="0" i="1">
                            <a:solidFill>
                              <a:srgbClr val="C00000"/>
                            </a:solidFill>
                            <a:latin typeface="Cambria Math" panose="02040503050406030204" pitchFamily="18" charset="0"/>
                          </a:rPr>
                          <m:t>𝑣𝑢𝑐</m:t>
                        </m:r>
                      </m:sub>
                    </m:sSub>
                  </m:oMath>
                </m:oMathPara>
              </a14:m>
              <a:endParaRPr lang="en-US" sz="1100">
                <a:solidFill>
                  <a:srgbClr val="C00000"/>
                </a:solidFill>
              </a:endParaRPr>
            </a:p>
          </xdr:txBody>
        </xdr:sp>
      </mc:Choice>
      <mc:Fallback xmlns="">
        <xdr:sp macro="" textlink="">
          <xdr:nvSpPr>
            <xdr:cNvPr id="73" name="TextBox 72">
              <a:extLst>
                <a:ext uri="{FF2B5EF4-FFF2-40B4-BE49-F238E27FC236}">
                  <a16:creationId xmlns:a16="http://schemas.microsoft.com/office/drawing/2014/main" id="{B3C354D0-8A7F-451C-AD65-A86899C34013}"/>
                </a:ext>
              </a:extLst>
            </xdr:cNvPr>
            <xdr:cNvSpPr txBox="1"/>
          </xdr:nvSpPr>
          <xdr:spPr>
            <a:xfrm>
              <a:off x="2515946201" y="11938001"/>
              <a:ext cx="372534" cy="2201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100" b="0" i="0">
                  <a:solidFill>
                    <a:srgbClr val="C00000"/>
                  </a:solidFill>
                  <a:latin typeface="Cambria Math" panose="02040503050406030204" pitchFamily="18" charset="0"/>
                </a:rPr>
                <a:t>𝐹_𝑣𝑢𝑐</a:t>
              </a:r>
              <a:endParaRPr lang="en-US" sz="1100">
                <a:solidFill>
                  <a:srgbClr val="C00000"/>
                </a:solidFill>
              </a:endParaRPr>
            </a:p>
          </xdr:txBody>
        </xdr:sp>
      </mc:Fallback>
    </mc:AlternateContent>
    <xdr:clientData/>
  </xdr:oneCellAnchor>
  <xdr:twoCellAnchor>
    <xdr:from>
      <xdr:col>42</xdr:col>
      <xdr:colOff>59267</xdr:colOff>
      <xdr:row>28</xdr:row>
      <xdr:rowOff>31314</xdr:rowOff>
    </xdr:from>
    <xdr:to>
      <xdr:col>45</xdr:col>
      <xdr:colOff>440267</xdr:colOff>
      <xdr:row>32</xdr:row>
      <xdr:rowOff>16074</xdr:rowOff>
    </xdr:to>
    <xdr:grpSp>
      <xdr:nvGrpSpPr>
        <xdr:cNvPr id="75" name="Group 74">
          <a:extLst>
            <a:ext uri="{FF2B5EF4-FFF2-40B4-BE49-F238E27FC236}">
              <a16:creationId xmlns:a16="http://schemas.microsoft.com/office/drawing/2014/main" id="{D0E68EDB-2CCB-C434-5D20-656D384DF537}"/>
            </a:ext>
          </a:extLst>
        </xdr:cNvPr>
        <xdr:cNvGrpSpPr/>
      </xdr:nvGrpSpPr>
      <xdr:grpSpPr>
        <a:xfrm>
          <a:off x="2511271753" y="4298514"/>
          <a:ext cx="1821180" cy="594360"/>
          <a:chOff x="2511856801" y="4612342"/>
          <a:chExt cx="2011680" cy="529048"/>
        </a:xfrm>
      </xdr:grpSpPr>
      <xdr:sp macro="" textlink="">
        <xdr:nvSpPr>
          <xdr:cNvPr id="69" name="Rectangle: Rounded Corners 6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96B0E33E-C3DC-7816-9A94-9FFF26B45887}"/>
              </a:ext>
            </a:extLst>
          </xdr:cNvPr>
          <xdr:cNvSpPr/>
        </xdr:nvSpPr>
        <xdr:spPr>
          <a:xfrm>
            <a:off x="2511856801" y="4612342"/>
            <a:ext cx="2011680" cy="529048"/>
          </a:xfrm>
          <a:prstGeom prst="roundRect">
            <a:avLst>
              <a:gd name="adj" fmla="val 12335"/>
            </a:avLst>
          </a:prstGeom>
          <a:solidFill>
            <a:schemeClr val="accent1">
              <a:lumMod val="40000"/>
              <a:lumOff val="6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  <a:scene3d>
            <a:camera prst="obliqueTopLef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 rtl="1"/>
            <a:r>
              <a:rPr lang="fa-IR" sz="1100" b="1">
                <a:solidFill>
                  <a:sysClr val="windowText" lastClr="000000"/>
                </a:solidFill>
                <a:cs typeface="B Nazanin" panose="00000400000000000000" pitchFamily="2" charset="-78"/>
              </a:rPr>
              <a:t>سایت</a:t>
            </a:r>
            <a:r>
              <a:rPr lang="fa-IR" sz="1100" b="1" baseline="0">
                <a:solidFill>
                  <a:sysClr val="windowText" lastClr="000000"/>
                </a:solidFill>
                <a:cs typeface="B Nazanin" panose="00000400000000000000" pitchFamily="2" charset="-78"/>
              </a:rPr>
              <a:t> استاندارد ۲۸۰۰ </a:t>
            </a:r>
          </a:p>
          <a:p>
            <a:pPr lvl="1" algn="ctr" rtl="1"/>
            <a:r>
              <a:rPr lang="fa-IR" sz="1100" b="0" baseline="0">
                <a:solidFill>
                  <a:sysClr val="windowText" lastClr="000000"/>
                </a:solidFill>
                <a:cs typeface="B Nazanin" panose="00000400000000000000" pitchFamily="2" charset="-78"/>
              </a:rPr>
              <a:t>     مشاهده شتاب طیفی</a:t>
            </a:r>
            <a:endParaRPr lang="en-US" sz="1100" b="0">
              <a:solidFill>
                <a:sysClr val="windowText" lastClr="000000"/>
              </a:solidFill>
              <a:cs typeface="B Nazanin" panose="00000400000000000000" pitchFamily="2" charset="-78"/>
            </a:endParaRPr>
          </a:p>
        </xdr:txBody>
      </xdr:sp>
      <xdr:pic>
        <xdr:nvPicPr>
          <xdr:cNvPr id="43" name="Graphic 42" descr="Internet with solid fill">
            <a:extLst>
              <a:ext uri="{FF2B5EF4-FFF2-40B4-BE49-F238E27FC236}">
                <a16:creationId xmlns:a16="http://schemas.microsoft.com/office/drawing/2014/main" id="{4B439149-2842-412A-DEBD-34DCA3134F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96DAC541-7B7A-43D3-8B79-37D633B846F1}">
                <asvg:svgBlip xmlns:asvg="http://schemas.microsoft.com/office/drawing/2016/SVG/main" r:embed="rId7"/>
              </a:ext>
            </a:extLst>
          </a:blip>
          <a:stretch>
            <a:fillRect/>
          </a:stretch>
        </xdr:blipFill>
        <xdr:spPr>
          <a:xfrm>
            <a:off x="2513340448" y="4652657"/>
            <a:ext cx="458600" cy="458600"/>
          </a:xfrm>
          <a:prstGeom prst="rect">
            <a:avLst/>
          </a:prstGeom>
        </xdr:spPr>
      </xdr:pic>
    </xdr:grpSp>
    <xdr:clientData/>
  </xdr:twoCellAnchor>
  <xdr:twoCellAnchor>
    <xdr:from>
      <xdr:col>42</xdr:col>
      <xdr:colOff>55520</xdr:colOff>
      <xdr:row>23</xdr:row>
      <xdr:rowOff>110614</xdr:rowOff>
    </xdr:from>
    <xdr:to>
      <xdr:col>45</xdr:col>
      <xdr:colOff>436520</xdr:colOff>
      <xdr:row>27</xdr:row>
      <xdr:rowOff>95374</xdr:rowOff>
    </xdr:to>
    <xdr:grpSp>
      <xdr:nvGrpSpPr>
        <xdr:cNvPr id="76" name="Group 7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9F7D334-761D-4C55-ABCD-75DEB584B338}"/>
            </a:ext>
          </a:extLst>
        </xdr:cNvPr>
        <xdr:cNvGrpSpPr/>
      </xdr:nvGrpSpPr>
      <xdr:grpSpPr>
        <a:xfrm>
          <a:off x="2511275500" y="3615814"/>
          <a:ext cx="1821180" cy="594360"/>
          <a:chOff x="2514947132" y="3362852"/>
          <a:chExt cx="1803576" cy="597480"/>
        </a:xfrm>
      </xdr:grpSpPr>
      <xdr:sp macro="" textlink="">
        <xdr:nvSpPr>
          <xdr:cNvPr id="77" name="Rectangle: Rounded Corners 76">
            <a:extLst>
              <a:ext uri="{FF2B5EF4-FFF2-40B4-BE49-F238E27FC236}">
                <a16:creationId xmlns:a16="http://schemas.microsoft.com/office/drawing/2014/main" id="{4E91955D-56B4-231A-780E-37A9AD72EBED}"/>
              </a:ext>
            </a:extLst>
          </xdr:cNvPr>
          <xdr:cNvSpPr/>
        </xdr:nvSpPr>
        <xdr:spPr>
          <a:xfrm>
            <a:off x="2514947132" y="3362852"/>
            <a:ext cx="1803576" cy="597480"/>
          </a:xfrm>
          <a:prstGeom prst="roundRect">
            <a:avLst>
              <a:gd name="adj" fmla="val 11686"/>
            </a:avLst>
          </a:prstGeom>
          <a:solidFill>
            <a:schemeClr val="accent1">
              <a:lumMod val="40000"/>
              <a:lumOff val="6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  <a:scene3d>
            <a:camera prst="obliqueTopLef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 rtl="1"/>
            <a:r>
              <a:rPr lang="fa-IR" sz="1100" b="1">
                <a:solidFill>
                  <a:sysClr val="windowText" lastClr="000000"/>
                </a:solidFill>
                <a:cs typeface="B Nazanin" panose="00000400000000000000" pitchFamily="2" charset="-78"/>
              </a:rPr>
              <a:t>مشاهده</a:t>
            </a:r>
            <a:r>
              <a:rPr lang="fa-IR" sz="1100" b="1" baseline="0">
                <a:solidFill>
                  <a:sysClr val="windowText" lastClr="000000"/>
                </a:solidFill>
                <a:cs typeface="B Nazanin" panose="00000400000000000000" pitchFamily="2" charset="-78"/>
              </a:rPr>
              <a:t> </a:t>
            </a:r>
            <a:r>
              <a:rPr lang="ar-SA" sz="1100" b="1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نقشه شتاب طیفی </a:t>
            </a:r>
            <a:endParaRPr 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B Nazanin" panose="00000400000000000000" pitchFamily="2" charset="-78"/>
            </a:endParaRPr>
          </a:p>
          <a:p>
            <a:pPr algn="l" rtl="1"/>
            <a:r>
              <a:rPr lang="ar-SA" sz="1100" b="1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زلزله در زمان </a:t>
            </a:r>
            <a:r>
              <a:rPr lang="fa-IR" sz="1100" b="1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۱</a:t>
            </a:r>
            <a:r>
              <a:rPr lang="ar-SA" sz="1100" b="1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 ثانیه ( </a:t>
            </a: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F</a:t>
            </a:r>
            <a:r>
              <a:rPr lang="en-US" sz="1100" b="1" baseline="-25000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1</a:t>
            </a:r>
            <a:r>
              <a:rPr lang="en-US" sz="1100" b="1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 </a:t>
            </a:r>
            <a:r>
              <a:rPr lang="fa-IR" sz="1100" b="1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 </a:t>
            </a:r>
            <a:r>
              <a:rPr lang="ar-SA" sz="1100" b="1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)</a:t>
            </a:r>
            <a:endParaRPr lang="en-US" sz="1100" b="1">
              <a:solidFill>
                <a:sysClr val="windowText" lastClr="000000"/>
              </a:solidFill>
              <a:cs typeface="B Nazanin" panose="00000400000000000000" pitchFamily="2" charset="-78"/>
            </a:endParaRPr>
          </a:p>
        </xdr:txBody>
      </xdr:sp>
      <xdr:pic>
        <xdr:nvPicPr>
          <xdr:cNvPr id="78" name="Graphic 77" descr="Camera with solid fill">
            <a:extLst>
              <a:ext uri="{FF2B5EF4-FFF2-40B4-BE49-F238E27FC236}">
                <a16:creationId xmlns:a16="http://schemas.microsoft.com/office/drawing/2014/main" id="{A1219C87-8243-7942-E54D-7450603149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516398189" y="3464280"/>
            <a:ext cx="314109" cy="321720"/>
          </a:xfrm>
          <a:prstGeom prst="rect">
            <a:avLst/>
          </a:prstGeom>
        </xdr:spPr>
      </xdr:pic>
    </xdr:grpSp>
    <xdr:clientData/>
  </xdr:twoCellAnchor>
  <xdr:oneCellAnchor>
    <xdr:from>
      <xdr:col>23</xdr:col>
      <xdr:colOff>42334</xdr:colOff>
      <xdr:row>180</xdr:row>
      <xdr:rowOff>67734</xdr:rowOff>
    </xdr:from>
    <xdr:ext cx="431798" cy="2285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" name="TextBox 79">
              <a:extLst>
                <a:ext uri="{FF2B5EF4-FFF2-40B4-BE49-F238E27FC236}">
                  <a16:creationId xmlns:a16="http://schemas.microsoft.com/office/drawing/2014/main" id="{F406BD21-EF2B-464F-BAFE-D2DD95FE735A}"/>
                </a:ext>
              </a:extLst>
            </xdr:cNvPr>
            <xdr:cNvSpPr txBox="1"/>
          </xdr:nvSpPr>
          <xdr:spPr>
            <a:xfrm>
              <a:off x="2514108935" y="26407534"/>
              <a:ext cx="431798" cy="2285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𝐹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𝑚𝑑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80" name="TextBox 79">
              <a:extLst>
                <a:ext uri="{FF2B5EF4-FFF2-40B4-BE49-F238E27FC236}">
                  <a16:creationId xmlns:a16="http://schemas.microsoft.com/office/drawing/2014/main" id="{F406BD21-EF2B-464F-BAFE-D2DD95FE735A}"/>
                </a:ext>
              </a:extLst>
            </xdr:cNvPr>
            <xdr:cNvSpPr txBox="1"/>
          </xdr:nvSpPr>
          <xdr:spPr>
            <a:xfrm>
              <a:off x="2514108935" y="26407534"/>
              <a:ext cx="431798" cy="2285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𝐹_𝑚𝑑=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9</xdr:col>
      <xdr:colOff>33865</xdr:colOff>
      <xdr:row>180</xdr:row>
      <xdr:rowOff>42334</xdr:rowOff>
    </xdr:from>
    <xdr:ext cx="431798" cy="2285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" name="TextBox 80">
              <a:extLst>
                <a:ext uri="{FF2B5EF4-FFF2-40B4-BE49-F238E27FC236}">
                  <a16:creationId xmlns:a16="http://schemas.microsoft.com/office/drawing/2014/main" id="{983D1520-417C-493E-8CF9-0E367EE37C67}"/>
                </a:ext>
              </a:extLst>
            </xdr:cNvPr>
            <xdr:cNvSpPr txBox="1"/>
          </xdr:nvSpPr>
          <xdr:spPr>
            <a:xfrm>
              <a:off x="2514117404" y="26670001"/>
              <a:ext cx="431798" cy="2285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𝑆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𝑎𝑣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81" name="TextBox 80">
              <a:extLst>
                <a:ext uri="{FF2B5EF4-FFF2-40B4-BE49-F238E27FC236}">
                  <a16:creationId xmlns:a16="http://schemas.microsoft.com/office/drawing/2014/main" id="{983D1520-417C-493E-8CF9-0E367EE37C67}"/>
                </a:ext>
              </a:extLst>
            </xdr:cNvPr>
            <xdr:cNvSpPr txBox="1"/>
          </xdr:nvSpPr>
          <xdr:spPr>
            <a:xfrm>
              <a:off x="2514117404" y="26670001"/>
              <a:ext cx="431798" cy="2285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𝑆_𝑎𝑣=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38</xdr:col>
      <xdr:colOff>59267</xdr:colOff>
      <xdr:row>180</xdr:row>
      <xdr:rowOff>42333</xdr:rowOff>
    </xdr:from>
    <xdr:ext cx="321732" cy="2370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" name="TextBox 81">
              <a:extLst>
                <a:ext uri="{FF2B5EF4-FFF2-40B4-BE49-F238E27FC236}">
                  <a16:creationId xmlns:a16="http://schemas.microsoft.com/office/drawing/2014/main" id="{C2953C67-8B91-453B-822C-772EFC45107B}"/>
                </a:ext>
              </a:extLst>
            </xdr:cNvPr>
            <xdr:cNvSpPr txBox="1"/>
          </xdr:nvSpPr>
          <xdr:spPr>
            <a:xfrm>
              <a:off x="2514202068" y="26382133"/>
              <a:ext cx="321732" cy="2370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𝑇</m:t>
                        </m:r>
                      </m:e>
                      <m:sub>
                        <m:r>
                          <a:rPr lang="en-US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𝑉</m:t>
                        </m:r>
                      </m:sub>
                    </m:sSub>
                    <m:r>
                      <a:rPr lang="en-US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82" name="TextBox 81">
              <a:extLst>
                <a:ext uri="{FF2B5EF4-FFF2-40B4-BE49-F238E27FC236}">
                  <a16:creationId xmlns:a16="http://schemas.microsoft.com/office/drawing/2014/main" id="{C2953C67-8B91-453B-822C-772EFC45107B}"/>
                </a:ext>
              </a:extLst>
            </xdr:cNvPr>
            <xdr:cNvSpPr txBox="1"/>
          </xdr:nvSpPr>
          <xdr:spPr>
            <a:xfrm>
              <a:off x="2514202068" y="26382133"/>
              <a:ext cx="321732" cy="2370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r" rtl="1"/>
              <a:r>
                <a:rPr lang="en-US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𝑇_𝑉=</a:t>
              </a:r>
              <a:endParaRPr lang="en-US" sz="1400"/>
            </a:p>
          </xdr:txBody>
        </xdr:sp>
      </mc:Fallback>
    </mc:AlternateContent>
    <xdr:clientData/>
  </xdr:oneCellAnchor>
  <xdr:twoCellAnchor>
    <xdr:from>
      <xdr:col>54</xdr:col>
      <xdr:colOff>228600</xdr:colOff>
      <xdr:row>2</xdr:row>
      <xdr:rowOff>25400</xdr:rowOff>
    </xdr:from>
    <xdr:to>
      <xdr:col>54</xdr:col>
      <xdr:colOff>4876801</xdr:colOff>
      <xdr:row>20</xdr:row>
      <xdr:rowOff>25400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E0EF33FB-815D-B90D-4BC8-6A245BF5F3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54</xdr:col>
      <xdr:colOff>245533</xdr:colOff>
      <xdr:row>21</xdr:row>
      <xdr:rowOff>67732</xdr:rowOff>
    </xdr:from>
    <xdr:to>
      <xdr:col>54</xdr:col>
      <xdr:colOff>4885268</xdr:colOff>
      <xdr:row>39</xdr:row>
      <xdr:rowOff>143932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702FB8EC-30A3-6060-F49C-8B9D8FC91E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42</xdr:col>
      <xdr:colOff>67371</xdr:colOff>
      <xdr:row>5</xdr:row>
      <xdr:rowOff>77586</xdr:rowOff>
    </xdr:from>
    <xdr:to>
      <xdr:col>45</xdr:col>
      <xdr:colOff>448371</xdr:colOff>
      <xdr:row>9</xdr:row>
      <xdr:rowOff>62346</xdr:rowOff>
    </xdr:to>
    <xdr:grpSp>
      <xdr:nvGrpSpPr>
        <xdr:cNvPr id="92" name="Group 9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928E017-DC83-879E-EBCC-A0F72793B6F8}"/>
            </a:ext>
          </a:extLst>
        </xdr:cNvPr>
        <xdr:cNvGrpSpPr/>
      </xdr:nvGrpSpPr>
      <xdr:grpSpPr>
        <a:xfrm>
          <a:off x="2511263649" y="839586"/>
          <a:ext cx="1821180" cy="594360"/>
          <a:chOff x="2515675628" y="514470"/>
          <a:chExt cx="1828800" cy="594360"/>
        </a:xfrm>
      </xdr:grpSpPr>
      <xdr:sp macro="" textlink="">
        <xdr:nvSpPr>
          <xdr:cNvPr id="86" name="Rectangle: Rounded Corners 85">
            <a:extLst>
              <a:ext uri="{FF2B5EF4-FFF2-40B4-BE49-F238E27FC236}">
                <a16:creationId xmlns:a16="http://schemas.microsoft.com/office/drawing/2014/main" id="{F0340EA8-375C-72EE-BB61-56895358321B}"/>
              </a:ext>
            </a:extLst>
          </xdr:cNvPr>
          <xdr:cNvSpPr/>
        </xdr:nvSpPr>
        <xdr:spPr>
          <a:xfrm>
            <a:off x="2515675628" y="514470"/>
            <a:ext cx="1828800" cy="594360"/>
          </a:xfrm>
          <a:prstGeom prst="roundRect">
            <a:avLst>
              <a:gd name="adj" fmla="val 11686"/>
            </a:avLst>
          </a:prstGeom>
          <a:solidFill>
            <a:schemeClr val="accent1">
              <a:lumMod val="40000"/>
              <a:lumOff val="6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  <a:scene3d>
            <a:camera prst="obliqueTopLef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 rtl="1"/>
            <a:r>
              <a:rPr lang="fa-IR" sz="1100" b="1" cap="none" spc="-100">
                <a:ln>
                  <a:noFill/>
                </a:ln>
                <a:solidFill>
                  <a:schemeClr val="tx1"/>
                </a:solidFill>
                <a:effectLst/>
                <a:cs typeface="B Nazanin" panose="00000400000000000000" pitchFamily="2" charset="-78"/>
              </a:rPr>
              <a:t>ویرایش چهارم</a:t>
            </a:r>
          </a:p>
          <a:p>
            <a:pPr algn="l" rtl="1"/>
            <a:r>
              <a:rPr lang="fa-IR" sz="1100" b="1" cap="none" spc="-100" baseline="0">
                <a:ln>
                  <a:noFill/>
                </a:ln>
                <a:solidFill>
                  <a:schemeClr val="tx1"/>
                </a:solidFill>
                <a:effectLst/>
                <a:cs typeface="B Nazanin" panose="00000400000000000000" pitchFamily="2" charset="-78"/>
              </a:rPr>
              <a:t>استاندارد </a:t>
            </a:r>
            <a:r>
              <a:rPr lang="fa-IR" sz="1100" b="1" cap="none" spc="0" baseline="0">
                <a:ln>
                  <a:noFill/>
                </a:ln>
                <a:solidFill>
                  <a:schemeClr val="tx1"/>
                </a:solidFill>
                <a:effectLst/>
                <a:cs typeface="B Nazanin" panose="00000400000000000000" pitchFamily="2" charset="-78"/>
              </a:rPr>
              <a:t>۲۸۰۰</a:t>
            </a:r>
            <a:endParaRPr lang="en-US" sz="1100" b="1" cap="none" spc="0">
              <a:ln>
                <a:noFill/>
              </a:ln>
              <a:solidFill>
                <a:schemeClr val="tx1"/>
              </a:solidFill>
              <a:effectLst/>
              <a:cs typeface="B Nazanin" panose="00000400000000000000" pitchFamily="2" charset="-78"/>
            </a:endParaRPr>
          </a:p>
        </xdr:txBody>
      </xdr:sp>
      <xdr:pic>
        <xdr:nvPicPr>
          <xdr:cNvPr id="89" name="Graphic 88" descr="Books with solid fill">
            <a:extLst>
              <a:ext uri="{FF2B5EF4-FFF2-40B4-BE49-F238E27FC236}">
                <a16:creationId xmlns:a16="http://schemas.microsoft.com/office/drawing/2014/main" id="{6E78FD51-23D0-33B9-4FE6-254FE4AFE8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96DAC541-7B7A-43D3-8B79-37D633B846F1}">
                <asvg:svgBlip xmlns:asvg="http://schemas.microsoft.com/office/drawing/2016/SVG/main" r:embed="rId13"/>
              </a:ext>
            </a:extLst>
          </a:blip>
          <a:stretch>
            <a:fillRect/>
          </a:stretch>
        </xdr:blipFill>
        <xdr:spPr>
          <a:xfrm>
            <a:off x="2516953733" y="592668"/>
            <a:ext cx="448733" cy="448733"/>
          </a:xfrm>
          <a:prstGeom prst="rect">
            <a:avLst/>
          </a:prstGeom>
        </xdr:spPr>
      </xdr:pic>
    </xdr:grpSp>
    <xdr:clientData/>
  </xdr:twoCellAnchor>
  <xdr:twoCellAnchor>
    <xdr:from>
      <xdr:col>42</xdr:col>
      <xdr:colOff>67373</xdr:colOff>
      <xdr:row>10</xdr:row>
      <xdr:rowOff>5925</xdr:rowOff>
    </xdr:from>
    <xdr:to>
      <xdr:col>45</xdr:col>
      <xdr:colOff>448373</xdr:colOff>
      <xdr:row>13</xdr:row>
      <xdr:rowOff>143085</xdr:rowOff>
    </xdr:to>
    <xdr:grpSp>
      <xdr:nvGrpSpPr>
        <xdr:cNvPr id="94" name="Group 9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761573C-D8D2-9F7A-9F4F-735AC75CC284}"/>
            </a:ext>
          </a:extLst>
        </xdr:cNvPr>
        <xdr:cNvGrpSpPr/>
      </xdr:nvGrpSpPr>
      <xdr:grpSpPr>
        <a:xfrm>
          <a:off x="2511263647" y="1529925"/>
          <a:ext cx="1821180" cy="594360"/>
          <a:chOff x="2515430096" y="1422403"/>
          <a:chExt cx="1828800" cy="682414"/>
        </a:xfrm>
      </xdr:grpSpPr>
      <xdr:sp macro="" textlink="">
        <xdr:nvSpPr>
          <xdr:cNvPr id="93" name="Rectangle: Rounded Corners 92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EE5AFB46-72ED-4BC6-B5DA-99D637E99478}"/>
              </a:ext>
            </a:extLst>
          </xdr:cNvPr>
          <xdr:cNvSpPr/>
        </xdr:nvSpPr>
        <xdr:spPr>
          <a:xfrm>
            <a:off x="2515430096" y="1422403"/>
            <a:ext cx="1828800" cy="682414"/>
          </a:xfrm>
          <a:prstGeom prst="roundRect">
            <a:avLst>
              <a:gd name="adj" fmla="val 11686"/>
            </a:avLst>
          </a:prstGeom>
          <a:solidFill>
            <a:schemeClr val="accent1">
              <a:lumMod val="40000"/>
              <a:lumOff val="6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  <a:scene3d>
            <a:camera prst="obliqueTopLef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lvl="1" algn="ctr" rtl="1"/>
            <a:r>
              <a:rPr lang="fa-IR" sz="1100" b="1" cap="none" spc="0">
                <a:ln>
                  <a:noFill/>
                </a:ln>
                <a:solidFill>
                  <a:schemeClr val="tx1"/>
                </a:solidFill>
                <a:effectLst/>
                <a:cs typeface="B Nazanin" panose="00000400000000000000" pitchFamily="2" charset="-78"/>
              </a:rPr>
              <a:t>راهنمای</a:t>
            </a:r>
            <a:r>
              <a:rPr lang="en-US" sz="1100" b="1" cap="none" spc="0">
                <a:ln>
                  <a:noFill/>
                </a:ln>
                <a:solidFill>
                  <a:schemeClr val="tx1"/>
                </a:solidFill>
                <a:effectLst/>
                <a:cs typeface="B Nazanin" panose="00000400000000000000" pitchFamily="2" charset="-78"/>
              </a:rPr>
              <a:t> </a:t>
            </a:r>
            <a:r>
              <a:rPr lang="fa-IR" sz="1100" b="1" cap="none" spc="0">
                <a:ln>
                  <a:noFill/>
                </a:ln>
                <a:solidFill>
                  <a:schemeClr val="tx1"/>
                </a:solidFill>
                <a:effectLst/>
                <a:cs typeface="B Nazanin" panose="00000400000000000000" pitchFamily="2" charset="-78"/>
              </a:rPr>
              <a:t>معرفی </a:t>
            </a:r>
            <a:endParaRPr lang="en-US" sz="1100" b="1" cap="none" spc="0">
              <a:ln>
                <a:noFill/>
              </a:ln>
              <a:solidFill>
                <a:schemeClr val="tx1"/>
              </a:solidFill>
              <a:effectLst/>
              <a:cs typeface="B Nazanin" panose="00000400000000000000" pitchFamily="2" charset="-78"/>
            </a:endParaRPr>
          </a:p>
          <a:p>
            <a:pPr algn="l" rtl="1"/>
            <a:r>
              <a:rPr lang="fa-IR" sz="1100" b="1" cap="none" spc="0">
                <a:ln>
                  <a:noFill/>
                </a:ln>
                <a:solidFill>
                  <a:schemeClr val="tx1"/>
                </a:solidFill>
                <a:effectLst/>
                <a:cs typeface="B Nazanin" panose="00000400000000000000" pitchFamily="2" charset="-78"/>
              </a:rPr>
              <a:t>طیف</a:t>
            </a:r>
            <a:r>
              <a:rPr lang="fa-IR" sz="1100" b="1" cap="none" spc="0" baseline="0">
                <a:ln>
                  <a:noFill/>
                </a:ln>
                <a:solidFill>
                  <a:schemeClr val="tx1"/>
                </a:solidFill>
                <a:effectLst/>
                <a:cs typeface="B Nazanin" panose="00000400000000000000" pitchFamily="2" charset="-78"/>
              </a:rPr>
              <a:t> طرح به </a:t>
            </a:r>
            <a:r>
              <a:rPr lang="en-US" sz="1100" b="1" cap="none" spc="0" baseline="0">
                <a:ln>
                  <a:noFill/>
                </a:ln>
                <a:solidFill>
                  <a:schemeClr val="tx1"/>
                </a:solidFill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Etabs</a:t>
            </a:r>
            <a:endParaRPr lang="fa-IR" sz="1100" b="1" cap="none" spc="0">
              <a:ln>
                <a:noFill/>
              </a:ln>
              <a:solidFill>
                <a:schemeClr val="tx1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  <xdr:pic>
        <xdr:nvPicPr>
          <xdr:cNvPr id="91" name="Graphic 90" descr="Lightbulb and gear with solid fill">
            <a:extLst>
              <a:ext uri="{FF2B5EF4-FFF2-40B4-BE49-F238E27FC236}">
                <a16:creationId xmlns:a16="http://schemas.microsoft.com/office/drawing/2014/main" id="{7021E7BA-A0B0-4A33-63F5-5E24854DB8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2516697332" y="1496198"/>
            <a:ext cx="493467" cy="596949"/>
          </a:xfrm>
          <a:prstGeom prst="rect">
            <a:avLst/>
          </a:prstGeom>
        </xdr:spPr>
      </xdr:pic>
    </xdr:grpSp>
    <xdr:clientData/>
  </xdr:twoCellAnchor>
  <xdr:twoCellAnchor>
    <xdr:from>
      <xdr:col>42</xdr:col>
      <xdr:colOff>75838</xdr:colOff>
      <xdr:row>1</xdr:row>
      <xdr:rowOff>6468</xdr:rowOff>
    </xdr:from>
    <xdr:to>
      <xdr:col>45</xdr:col>
      <xdr:colOff>456838</xdr:colOff>
      <xdr:row>4</xdr:row>
      <xdr:rowOff>143628</xdr:rowOff>
    </xdr:to>
    <xdr:grpSp>
      <xdr:nvGrpSpPr>
        <xdr:cNvPr id="100" name="Group 9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30ACF81-468C-93BC-A6D2-4840A1088C09}"/>
            </a:ext>
          </a:extLst>
        </xdr:cNvPr>
        <xdr:cNvGrpSpPr/>
      </xdr:nvGrpSpPr>
      <xdr:grpSpPr>
        <a:xfrm>
          <a:off x="2511255182" y="158868"/>
          <a:ext cx="1821180" cy="594360"/>
          <a:chOff x="2515734896" y="201203"/>
          <a:chExt cx="1828800" cy="594360"/>
        </a:xfrm>
      </xdr:grpSpPr>
      <xdr:sp macro="" textlink="">
        <xdr:nvSpPr>
          <xdr:cNvPr id="96" name="Rectangle: Rounded Corners 95">
            <a:extLst>
              <a:ext uri="{FF2B5EF4-FFF2-40B4-BE49-F238E27FC236}">
                <a16:creationId xmlns:a16="http://schemas.microsoft.com/office/drawing/2014/main" id="{D667E544-16B0-A114-B3A8-D888A55FB39D}"/>
              </a:ext>
            </a:extLst>
          </xdr:cNvPr>
          <xdr:cNvSpPr/>
        </xdr:nvSpPr>
        <xdr:spPr>
          <a:xfrm>
            <a:off x="2515734896" y="201203"/>
            <a:ext cx="1828800" cy="594360"/>
          </a:xfrm>
          <a:prstGeom prst="roundRect">
            <a:avLst>
              <a:gd name="adj" fmla="val 11686"/>
            </a:avLst>
          </a:prstGeom>
          <a:solidFill>
            <a:schemeClr val="accent1">
              <a:lumMod val="40000"/>
              <a:lumOff val="6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  <a:scene3d>
            <a:camera prst="obliqueTopLef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 rtl="1"/>
            <a:r>
              <a:rPr lang="fa-IR" sz="1200" b="1" cap="none" spc="0">
                <a:ln>
                  <a:noFill/>
                </a:ln>
                <a:solidFill>
                  <a:schemeClr val="tx1"/>
                </a:solidFill>
                <a:effectLst/>
                <a:cs typeface="B Nazanin" panose="00000400000000000000" pitchFamily="2" charset="-78"/>
              </a:rPr>
              <a:t>دریافت فایل</a:t>
            </a:r>
          </a:p>
          <a:p>
            <a:pPr algn="l" rtl="1"/>
            <a:r>
              <a:rPr lang="en-US" sz="1200" b="1" cap="none" spc="0">
                <a:ln>
                  <a:noFill/>
                </a:ln>
                <a:solidFill>
                  <a:schemeClr val="tx1"/>
                </a:solidFill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kimiyasaze.com</a:t>
            </a:r>
            <a:endParaRPr lang="en-US" sz="1100" b="1" cap="none" spc="0">
              <a:ln>
                <a:noFill/>
              </a:ln>
              <a:solidFill>
                <a:schemeClr val="tx1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  <xdr:pic>
        <xdr:nvPicPr>
          <xdr:cNvPr id="99" name="Graphic 98" descr="Earth globe: Africa and Europe with solid fill">
            <a:extLst>
              <a:ext uri="{FF2B5EF4-FFF2-40B4-BE49-F238E27FC236}">
                <a16:creationId xmlns:a16="http://schemas.microsoft.com/office/drawing/2014/main" id="{189AC09F-0704-E69C-A158-E509CF11944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96DAC541-7B7A-43D3-8B79-37D633B846F1}">
                <asvg:svgBlip xmlns:asvg="http://schemas.microsoft.com/office/drawing/2016/SVG/main" r:embed="rId20"/>
              </a:ext>
            </a:extLst>
          </a:blip>
          <a:stretch>
            <a:fillRect/>
          </a:stretch>
        </xdr:blipFill>
        <xdr:spPr>
          <a:xfrm>
            <a:off x="2516987600" y="254000"/>
            <a:ext cx="507999" cy="507999"/>
          </a:xfrm>
          <a:prstGeom prst="rect">
            <a:avLst/>
          </a:prstGeom>
        </xdr:spPr>
      </xdr:pic>
    </xdr:grpSp>
    <xdr:clientData/>
  </xdr:twoCellAnchor>
  <xdr:twoCellAnchor>
    <xdr:from>
      <xdr:col>42</xdr:col>
      <xdr:colOff>44741</xdr:colOff>
      <xdr:row>32</xdr:row>
      <xdr:rowOff>102993</xdr:rowOff>
    </xdr:from>
    <xdr:to>
      <xdr:col>45</xdr:col>
      <xdr:colOff>433361</xdr:colOff>
      <xdr:row>37</xdr:row>
      <xdr:rowOff>118233</xdr:rowOff>
    </xdr:to>
    <xdr:grpSp>
      <xdr:nvGrpSpPr>
        <xdr:cNvPr id="102" name="Group 10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7F0CD9A-4DD0-8CBB-8887-F82DA452DBAE}"/>
            </a:ext>
          </a:extLst>
        </xdr:cNvPr>
        <xdr:cNvGrpSpPr/>
      </xdr:nvGrpSpPr>
      <xdr:grpSpPr>
        <a:xfrm>
          <a:off x="2511278659" y="4979793"/>
          <a:ext cx="1828800" cy="777240"/>
          <a:chOff x="2517223315" y="5591928"/>
          <a:chExt cx="1836452" cy="777240"/>
        </a:xfrm>
      </xdr:grpSpPr>
      <xdr:sp macro="" textlink="">
        <xdr:nvSpPr>
          <xdr:cNvPr id="74" name="Rectangle: Rounded Corners 73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677E31F1-29EB-3810-96C4-261DC8D35BB0}"/>
              </a:ext>
            </a:extLst>
          </xdr:cNvPr>
          <xdr:cNvSpPr/>
        </xdr:nvSpPr>
        <xdr:spPr>
          <a:xfrm>
            <a:off x="2517223315" y="5591928"/>
            <a:ext cx="1836452" cy="777240"/>
          </a:xfrm>
          <a:prstGeom prst="roundRect">
            <a:avLst>
              <a:gd name="adj" fmla="val 11686"/>
            </a:avLst>
          </a:prstGeom>
          <a:solidFill>
            <a:schemeClr val="accent1">
              <a:lumMod val="40000"/>
              <a:lumOff val="6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  <a:scene3d>
            <a:camera prst="obliqueTopLef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lvl="1" algn="ctr" rtl="1"/>
            <a:r>
              <a:rPr lang="fa-IR" sz="1200" b="1">
                <a:solidFill>
                  <a:sysClr val="windowText" lastClr="000000"/>
                </a:solidFill>
                <a:cs typeface="B Nazanin" panose="00000400000000000000" pitchFamily="2" charset="-78"/>
              </a:rPr>
              <a:t>جدول ۱-۲</a:t>
            </a:r>
          </a:p>
          <a:p>
            <a:pPr lvl="1" algn="ctr" rtl="1"/>
            <a:r>
              <a:rPr lang="fa-IR" sz="10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ضریب</a:t>
            </a:r>
            <a:r>
              <a:rPr lang="fa-IR" sz="1000" b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 تاثیر نوع ساختگاه در بازه زمان تناوب کوتاه</a:t>
            </a:r>
            <a:r>
              <a:rPr lang="ar-SA" sz="10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( </a:t>
            </a:r>
            <a:r>
              <a:rPr lang="en-US" sz="1000" b="0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F</a:t>
            </a:r>
            <a:r>
              <a:rPr lang="en-US" sz="1000" b="0" baseline="-25000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S</a:t>
            </a:r>
            <a:r>
              <a:rPr lang="en-US" sz="10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 </a:t>
            </a:r>
            <a:r>
              <a:rPr lang="fa-IR" sz="10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 </a:t>
            </a:r>
            <a:r>
              <a:rPr lang="ar-SA" sz="10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)</a:t>
            </a:r>
            <a:endParaRPr lang="en-US" sz="1000" b="0">
              <a:solidFill>
                <a:sysClr val="windowText" lastClr="000000"/>
              </a:solidFill>
              <a:cs typeface="B Nazanin" panose="00000400000000000000" pitchFamily="2" charset="-78"/>
            </a:endParaRPr>
          </a:p>
        </xdr:txBody>
      </xdr:sp>
      <xdr:pic>
        <xdr:nvPicPr>
          <xdr:cNvPr id="87" name="Graphic 86" descr="Daily calendar with solid fill">
            <a:extLst>
              <a:ext uri="{FF2B5EF4-FFF2-40B4-BE49-F238E27FC236}">
                <a16:creationId xmlns:a16="http://schemas.microsoft.com/office/drawing/2014/main" id="{6AF9DA2F-189E-1E0D-1B53-7D5E388696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96DAC541-7B7A-43D3-8B79-37D633B846F1}">
                <asvg:svgBlip xmlns:asvg="http://schemas.microsoft.com/office/drawing/2016/SVG/main" r:embed="rId24"/>
              </a:ext>
            </a:extLst>
          </a:blip>
          <a:stretch>
            <a:fillRect/>
          </a:stretch>
        </xdr:blipFill>
        <xdr:spPr>
          <a:xfrm>
            <a:off x="2518604734" y="5722621"/>
            <a:ext cx="423333" cy="423333"/>
          </a:xfrm>
          <a:prstGeom prst="rect">
            <a:avLst/>
          </a:prstGeom>
        </xdr:spPr>
      </xdr:pic>
    </xdr:grpSp>
    <xdr:clientData/>
  </xdr:twoCellAnchor>
  <xdr:twoCellAnchor>
    <xdr:from>
      <xdr:col>42</xdr:col>
      <xdr:colOff>51517</xdr:colOff>
      <xdr:row>38</xdr:row>
      <xdr:rowOff>58967</xdr:rowOff>
    </xdr:from>
    <xdr:to>
      <xdr:col>45</xdr:col>
      <xdr:colOff>440137</xdr:colOff>
      <xdr:row>43</xdr:row>
      <xdr:rowOff>74207</xdr:rowOff>
    </xdr:to>
    <xdr:grpSp>
      <xdr:nvGrpSpPr>
        <xdr:cNvPr id="103" name="Group 102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3428C6F1-EF16-43EF-A1FD-EA9088324256}"/>
            </a:ext>
          </a:extLst>
        </xdr:cNvPr>
        <xdr:cNvGrpSpPr/>
      </xdr:nvGrpSpPr>
      <xdr:grpSpPr>
        <a:xfrm>
          <a:off x="2511271883" y="5850167"/>
          <a:ext cx="1828800" cy="777240"/>
          <a:chOff x="2517215663" y="5569069"/>
          <a:chExt cx="1836452" cy="777240"/>
        </a:xfrm>
      </xdr:grpSpPr>
      <xdr:sp macro="" textlink="">
        <xdr:nvSpPr>
          <xdr:cNvPr id="104" name="Rectangle: Rounded Corners 103">
            <a:hlinkClick xmlns:r="http://schemas.openxmlformats.org/officeDocument/2006/relationships" r:id="rId26"/>
            <a:extLst>
              <a:ext uri="{FF2B5EF4-FFF2-40B4-BE49-F238E27FC236}">
                <a16:creationId xmlns:a16="http://schemas.microsoft.com/office/drawing/2014/main" id="{2C002CF6-C9D3-1569-9803-BCE65FB0E299}"/>
              </a:ext>
            </a:extLst>
          </xdr:cNvPr>
          <xdr:cNvSpPr/>
        </xdr:nvSpPr>
        <xdr:spPr>
          <a:xfrm>
            <a:off x="2517215663" y="5569069"/>
            <a:ext cx="1836452" cy="777240"/>
          </a:xfrm>
          <a:prstGeom prst="roundRect">
            <a:avLst>
              <a:gd name="adj" fmla="val 11686"/>
            </a:avLst>
          </a:prstGeom>
          <a:solidFill>
            <a:schemeClr val="accent1">
              <a:lumMod val="40000"/>
              <a:lumOff val="6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  <a:scene3d>
            <a:camera prst="obliqueTopLef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lvl="1" algn="ctr" rtl="1"/>
            <a:r>
              <a:rPr lang="fa-IR" sz="1200" b="1">
                <a:solidFill>
                  <a:sysClr val="windowText" lastClr="000000"/>
                </a:solidFill>
                <a:cs typeface="B Nazanin" panose="00000400000000000000" pitchFamily="2" charset="-78"/>
              </a:rPr>
              <a:t>جدول ۲-۲</a:t>
            </a:r>
          </a:p>
          <a:p>
            <a:pPr lvl="1" algn="ctr" rtl="1"/>
            <a:r>
              <a:rPr lang="fa-IR" sz="10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ضریب</a:t>
            </a:r>
            <a:r>
              <a:rPr lang="fa-IR" sz="1000" b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 تاثیر نوع ساختگاه در </a:t>
            </a:r>
          </a:p>
          <a:p>
            <a:pPr lvl="1" algn="ctr" rtl="1"/>
            <a:r>
              <a:rPr lang="fa-IR" sz="1000" b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بازه زمان تناوب ۱ثانیه </a:t>
            </a:r>
            <a:r>
              <a:rPr lang="ar-SA" sz="10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(</a:t>
            </a:r>
            <a:r>
              <a:rPr lang="en-US" sz="1000" b="0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F</a:t>
            </a:r>
            <a:r>
              <a:rPr lang="en-US" sz="1000" b="0" baseline="-25000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1</a:t>
            </a:r>
            <a:r>
              <a:rPr lang="fa-IR" sz="10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 </a:t>
            </a:r>
            <a:r>
              <a:rPr lang="ar-SA" sz="10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)</a:t>
            </a:r>
            <a:endParaRPr lang="en-US" sz="1000" b="0">
              <a:solidFill>
                <a:sysClr val="windowText" lastClr="000000"/>
              </a:solidFill>
              <a:cs typeface="B Nazanin" panose="00000400000000000000" pitchFamily="2" charset="-78"/>
            </a:endParaRPr>
          </a:p>
        </xdr:txBody>
      </xdr:sp>
      <xdr:pic>
        <xdr:nvPicPr>
          <xdr:cNvPr id="105" name="Graphic 104" descr="Daily calendar with solid fill">
            <a:extLst>
              <a:ext uri="{FF2B5EF4-FFF2-40B4-BE49-F238E27FC236}">
                <a16:creationId xmlns:a16="http://schemas.microsoft.com/office/drawing/2014/main" id="{8986079A-9FFA-4495-394F-7B9A7125D0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96DAC541-7B7A-43D3-8B79-37D633B846F1}">
                <asvg:svgBlip xmlns:asvg="http://schemas.microsoft.com/office/drawing/2016/SVG/main" r:embed="rId27"/>
              </a:ext>
            </a:extLst>
          </a:blip>
          <a:stretch>
            <a:fillRect/>
          </a:stretch>
        </xdr:blipFill>
        <xdr:spPr>
          <a:xfrm>
            <a:off x="2518573632" y="5722621"/>
            <a:ext cx="457200" cy="457200"/>
          </a:xfrm>
          <a:prstGeom prst="rect">
            <a:avLst/>
          </a:prstGeom>
        </xdr:spPr>
      </xdr:pic>
    </xdr:grpSp>
    <xdr:clientData/>
  </xdr:twoCellAnchor>
  <xdr:twoCellAnchor>
    <xdr:from>
      <xdr:col>42</xdr:col>
      <xdr:colOff>43053</xdr:colOff>
      <xdr:row>44</xdr:row>
      <xdr:rowOff>8991</xdr:rowOff>
    </xdr:from>
    <xdr:to>
      <xdr:col>45</xdr:col>
      <xdr:colOff>431673</xdr:colOff>
      <xdr:row>49</xdr:row>
      <xdr:rowOff>24231</xdr:rowOff>
    </xdr:to>
    <xdr:grpSp>
      <xdr:nvGrpSpPr>
        <xdr:cNvPr id="106" name="Group 105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340081FD-6573-40F2-9B3C-E7EF87279B89}"/>
            </a:ext>
          </a:extLst>
        </xdr:cNvPr>
        <xdr:cNvGrpSpPr/>
      </xdr:nvGrpSpPr>
      <xdr:grpSpPr>
        <a:xfrm>
          <a:off x="2511280347" y="6714591"/>
          <a:ext cx="1828800" cy="777240"/>
          <a:chOff x="2517215663" y="5569068"/>
          <a:chExt cx="1836452" cy="779884"/>
        </a:xfrm>
      </xdr:grpSpPr>
      <xdr:sp macro="" textlink="">
        <xdr:nvSpPr>
          <xdr:cNvPr id="107" name="Rectangle: Rounded Corners 106">
            <a:hlinkClick xmlns:r="http://schemas.openxmlformats.org/officeDocument/2006/relationships" r:id="rId28"/>
            <a:extLst>
              <a:ext uri="{FF2B5EF4-FFF2-40B4-BE49-F238E27FC236}">
                <a16:creationId xmlns:a16="http://schemas.microsoft.com/office/drawing/2014/main" id="{EF5A20A0-D28C-42F7-3581-A4FB3D7E979D}"/>
              </a:ext>
            </a:extLst>
          </xdr:cNvPr>
          <xdr:cNvSpPr/>
        </xdr:nvSpPr>
        <xdr:spPr>
          <a:xfrm>
            <a:off x="2517215663" y="5569068"/>
            <a:ext cx="1836452" cy="779884"/>
          </a:xfrm>
          <a:prstGeom prst="roundRect">
            <a:avLst>
              <a:gd name="adj" fmla="val 11686"/>
            </a:avLst>
          </a:prstGeom>
          <a:solidFill>
            <a:schemeClr val="accent1">
              <a:lumMod val="40000"/>
              <a:lumOff val="6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  <a:scene3d>
            <a:camera prst="obliqueTopLef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lvl="1" algn="ctr" rtl="1"/>
            <a:r>
              <a:rPr lang="fa-IR" sz="1100" b="1">
                <a:solidFill>
                  <a:sysClr val="windowText" lastClr="000000"/>
                </a:solidFill>
                <a:cs typeface="B Nazanin" panose="00000400000000000000" pitchFamily="2" charset="-78"/>
              </a:rPr>
              <a:t>جدول ۳-۲</a:t>
            </a:r>
            <a:endParaRPr lang="fa-IR" sz="300" b="1">
              <a:solidFill>
                <a:sysClr val="windowText" lastClr="000000"/>
              </a:solidFill>
              <a:cs typeface="B Nazanin" panose="00000400000000000000" pitchFamily="2" charset="-78"/>
            </a:endParaRPr>
          </a:p>
          <a:p>
            <a:pPr lvl="1" algn="ctr" rtl="1"/>
            <a:r>
              <a:rPr lang="fa-IR" sz="10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ضریب</a:t>
            </a:r>
            <a:r>
              <a:rPr lang="fa-IR" sz="1000" b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 تاثیر نوع ساختگاه بر</a:t>
            </a:r>
          </a:p>
          <a:p>
            <a:pPr lvl="1" algn="ctr" rtl="1"/>
            <a:r>
              <a:rPr lang="fa-IR" sz="1000" b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 شتاب بیشینه زمین</a:t>
            </a:r>
            <a:r>
              <a:rPr lang="ar-SA" sz="10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(</a:t>
            </a:r>
            <a:r>
              <a:rPr lang="en-US" sz="1000" b="0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F</a:t>
            </a:r>
            <a:r>
              <a:rPr lang="en-US" sz="1000" b="0" baseline="-25000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PGA</a:t>
            </a:r>
            <a:r>
              <a:rPr lang="ar-SA" sz="10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)</a:t>
            </a:r>
            <a:endParaRPr lang="en-US" sz="1000" b="0">
              <a:solidFill>
                <a:sysClr val="windowText" lastClr="000000"/>
              </a:solidFill>
              <a:cs typeface="B Nazanin" panose="00000400000000000000" pitchFamily="2" charset="-78"/>
            </a:endParaRPr>
          </a:p>
        </xdr:txBody>
      </xdr:sp>
      <xdr:pic>
        <xdr:nvPicPr>
          <xdr:cNvPr id="108" name="Graphic 107" descr="Daily calendar with solid fill">
            <a:extLst>
              <a:ext uri="{FF2B5EF4-FFF2-40B4-BE49-F238E27FC236}">
                <a16:creationId xmlns:a16="http://schemas.microsoft.com/office/drawing/2014/main" id="{F0D4401F-D9EF-F647-6C62-C2BA00FD1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96DAC541-7B7A-43D3-8B79-37D633B846F1}">
                <asvg:svgBlip xmlns:asvg="http://schemas.microsoft.com/office/drawing/2016/SVG/main" r:embed="rId27"/>
              </a:ext>
            </a:extLst>
          </a:blip>
          <a:stretch>
            <a:fillRect/>
          </a:stretch>
        </xdr:blipFill>
        <xdr:spPr>
          <a:xfrm>
            <a:off x="2518550677" y="5707874"/>
            <a:ext cx="458755" cy="458755"/>
          </a:xfrm>
          <a:prstGeom prst="rect">
            <a:avLst/>
          </a:prstGeom>
        </xdr:spPr>
      </xdr:pic>
    </xdr:grpSp>
    <xdr:clientData/>
  </xdr:twoCellAnchor>
  <xdr:twoCellAnchor>
    <xdr:from>
      <xdr:col>42</xdr:col>
      <xdr:colOff>43573</xdr:colOff>
      <xdr:row>49</xdr:row>
      <xdr:rowOff>106349</xdr:rowOff>
    </xdr:from>
    <xdr:to>
      <xdr:col>45</xdr:col>
      <xdr:colOff>432193</xdr:colOff>
      <xdr:row>54</xdr:row>
      <xdr:rowOff>121589</xdr:rowOff>
    </xdr:to>
    <xdr:grpSp>
      <xdr:nvGrpSpPr>
        <xdr:cNvPr id="109" name="Group 10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E8061763-0FE7-4BA9-8316-9250C05086FA}"/>
            </a:ext>
          </a:extLst>
        </xdr:cNvPr>
        <xdr:cNvGrpSpPr/>
      </xdr:nvGrpSpPr>
      <xdr:grpSpPr>
        <a:xfrm>
          <a:off x="2511279827" y="7573949"/>
          <a:ext cx="1828800" cy="777240"/>
          <a:chOff x="2517215664" y="5569068"/>
          <a:chExt cx="1836453" cy="781212"/>
        </a:xfrm>
      </xdr:grpSpPr>
      <xdr:sp macro="" textlink="">
        <xdr:nvSpPr>
          <xdr:cNvPr id="110" name="Rectangle: Rounded Corners 109">
            <a:hlinkClick xmlns:r="http://schemas.openxmlformats.org/officeDocument/2006/relationships" r:id="rId29"/>
            <a:extLst>
              <a:ext uri="{FF2B5EF4-FFF2-40B4-BE49-F238E27FC236}">
                <a16:creationId xmlns:a16="http://schemas.microsoft.com/office/drawing/2014/main" id="{F95C1D6C-53FE-D44E-B1D9-A4031D13B539}"/>
              </a:ext>
            </a:extLst>
          </xdr:cNvPr>
          <xdr:cNvSpPr/>
        </xdr:nvSpPr>
        <xdr:spPr>
          <a:xfrm>
            <a:off x="2517215664" y="5569068"/>
            <a:ext cx="1836453" cy="781212"/>
          </a:xfrm>
          <a:prstGeom prst="roundRect">
            <a:avLst>
              <a:gd name="adj" fmla="val 11686"/>
            </a:avLst>
          </a:prstGeom>
          <a:solidFill>
            <a:schemeClr val="accent1">
              <a:lumMod val="40000"/>
              <a:lumOff val="6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  <a:scene3d>
            <a:camera prst="obliqueTopLef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lvl="1" algn="ctr" rtl="1"/>
            <a:r>
              <a:rPr lang="fa-IR" sz="1100" b="1">
                <a:solidFill>
                  <a:sysClr val="windowText" lastClr="000000"/>
                </a:solidFill>
                <a:cs typeface="B Nazanin" panose="00000400000000000000" pitchFamily="2" charset="-78"/>
              </a:rPr>
              <a:t>جدول ۴-۲</a:t>
            </a:r>
          </a:p>
          <a:p>
            <a:pPr lvl="1" algn="ctr" rtl="1"/>
            <a:r>
              <a:rPr lang="fa-IR" sz="10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ضریب</a:t>
            </a:r>
            <a:r>
              <a:rPr lang="fa-IR" sz="1000" b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 قائم برحسب </a:t>
            </a:r>
          </a:p>
          <a:p>
            <a:pPr lvl="1" algn="ctr" rtl="1"/>
            <a:r>
              <a:rPr lang="fa-IR" sz="1000" b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نوع زمین </a:t>
            </a:r>
            <a:r>
              <a:rPr lang="ar-SA" sz="10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( </a:t>
            </a:r>
            <a:r>
              <a:rPr lang="en-US" sz="1000" b="0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C</a:t>
            </a:r>
            <a:r>
              <a:rPr lang="en-US" sz="1000" b="0" baseline="-25000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V</a:t>
            </a:r>
            <a:r>
              <a:rPr lang="fa-IR" sz="10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 </a:t>
            </a:r>
            <a:r>
              <a:rPr lang="ar-SA" sz="10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)</a:t>
            </a:r>
            <a:endParaRPr lang="en-US" sz="1000" b="0">
              <a:solidFill>
                <a:sysClr val="windowText" lastClr="000000"/>
              </a:solidFill>
              <a:cs typeface="B Nazanin" panose="00000400000000000000" pitchFamily="2" charset="-78"/>
            </a:endParaRPr>
          </a:p>
        </xdr:txBody>
      </xdr:sp>
      <xdr:pic>
        <xdr:nvPicPr>
          <xdr:cNvPr id="111" name="Graphic 110" descr="Daily calendar with solid fill">
            <a:extLst>
              <a:ext uri="{FF2B5EF4-FFF2-40B4-BE49-F238E27FC236}">
                <a16:creationId xmlns:a16="http://schemas.microsoft.com/office/drawing/2014/main" id="{AF57602A-09E0-0D6F-2F7B-805039E409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96DAC541-7B7A-43D3-8B79-37D633B846F1}">
                <asvg:svgBlip xmlns:asvg="http://schemas.microsoft.com/office/drawing/2016/SVG/main" r:embed="rId27"/>
              </a:ext>
            </a:extLst>
          </a:blip>
          <a:stretch>
            <a:fillRect/>
          </a:stretch>
        </xdr:blipFill>
        <xdr:spPr>
          <a:xfrm>
            <a:off x="2518550675" y="5731098"/>
            <a:ext cx="459537" cy="459537"/>
          </a:xfrm>
          <a:prstGeom prst="rect">
            <a:avLst/>
          </a:prstGeom>
        </xdr:spPr>
      </xdr:pic>
    </xdr:grpSp>
    <xdr:clientData/>
  </xdr:twoCellAnchor>
  <xdr:twoCellAnchor>
    <xdr:from>
      <xdr:col>42</xdr:col>
      <xdr:colOff>28666</xdr:colOff>
      <xdr:row>55</xdr:row>
      <xdr:rowOff>49631</xdr:rowOff>
    </xdr:from>
    <xdr:to>
      <xdr:col>45</xdr:col>
      <xdr:colOff>417286</xdr:colOff>
      <xdr:row>60</xdr:row>
      <xdr:rowOff>26770</xdr:rowOff>
    </xdr:to>
    <xdr:grpSp>
      <xdr:nvGrpSpPr>
        <xdr:cNvPr id="112" name="Group 11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3B297DA5-B0C1-43E0-8A0E-AF8BE2CFBAB8}"/>
            </a:ext>
          </a:extLst>
        </xdr:cNvPr>
        <xdr:cNvGrpSpPr/>
      </xdr:nvGrpSpPr>
      <xdr:grpSpPr>
        <a:xfrm>
          <a:off x="2511294734" y="8439251"/>
          <a:ext cx="1828800" cy="777239"/>
          <a:chOff x="2517215663" y="5569068"/>
          <a:chExt cx="1836452" cy="779221"/>
        </a:xfrm>
      </xdr:grpSpPr>
      <xdr:sp macro="" textlink="">
        <xdr:nvSpPr>
          <xdr:cNvPr id="113" name="Rectangle: Rounded Corners 112">
            <a:hlinkClick xmlns:r="http://schemas.openxmlformats.org/officeDocument/2006/relationships" r:id="rId30"/>
            <a:extLst>
              <a:ext uri="{FF2B5EF4-FFF2-40B4-BE49-F238E27FC236}">
                <a16:creationId xmlns:a16="http://schemas.microsoft.com/office/drawing/2014/main" id="{1400F988-2D00-D3AD-83E8-D8E1057480A5}"/>
              </a:ext>
            </a:extLst>
          </xdr:cNvPr>
          <xdr:cNvSpPr/>
        </xdr:nvSpPr>
        <xdr:spPr>
          <a:xfrm>
            <a:off x="2517215663" y="5569068"/>
            <a:ext cx="1836452" cy="779221"/>
          </a:xfrm>
          <a:prstGeom prst="roundRect">
            <a:avLst>
              <a:gd name="adj" fmla="val 11686"/>
            </a:avLst>
          </a:prstGeom>
          <a:solidFill>
            <a:schemeClr val="accent1">
              <a:lumMod val="40000"/>
              <a:lumOff val="6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  <a:scene3d>
            <a:camera prst="obliqueTopLef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lvl="1" algn="ctr" rtl="1"/>
            <a:r>
              <a:rPr lang="fa-IR" sz="1100" b="1">
                <a:solidFill>
                  <a:sysClr val="windowText" lastClr="000000"/>
                </a:solidFill>
                <a:cs typeface="B Nazanin" panose="00000400000000000000" pitchFamily="2" charset="-78"/>
              </a:rPr>
              <a:t>جدول ۱-۳</a:t>
            </a:r>
            <a:endParaRPr lang="fa-IR" sz="400" b="1">
              <a:solidFill>
                <a:sysClr val="windowText" lastClr="000000"/>
              </a:solidFill>
              <a:cs typeface="B Nazanin" panose="00000400000000000000" pitchFamily="2" charset="-78"/>
            </a:endParaRPr>
          </a:p>
          <a:p>
            <a:pPr lvl="0" algn="l" rtl="1"/>
            <a:r>
              <a:rPr lang="fa-IR" sz="10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             پارامترهای لرزه‌ای سیستم‌های</a:t>
            </a:r>
          </a:p>
          <a:p>
            <a:pPr lvl="0" algn="l" rtl="1"/>
            <a:r>
              <a:rPr lang="fa-IR" sz="10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مختلف</a:t>
            </a:r>
            <a:r>
              <a:rPr lang="fa-IR" sz="1000" b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B Nazanin" panose="00000400000000000000" pitchFamily="2" charset="-78"/>
              </a:rPr>
              <a:t> مقاوم در برابر زلزله</a:t>
            </a:r>
            <a:endParaRPr lang="en-US" sz="1000" b="0">
              <a:solidFill>
                <a:sysClr val="windowText" lastClr="000000"/>
              </a:solidFill>
              <a:cs typeface="B Nazanin" panose="00000400000000000000" pitchFamily="2" charset="-78"/>
            </a:endParaRPr>
          </a:p>
        </xdr:txBody>
      </xdr:sp>
      <xdr:pic>
        <xdr:nvPicPr>
          <xdr:cNvPr id="114" name="Graphic 113" descr="Daily calendar with solid fill">
            <a:extLst>
              <a:ext uri="{FF2B5EF4-FFF2-40B4-BE49-F238E27FC236}">
                <a16:creationId xmlns:a16="http://schemas.microsoft.com/office/drawing/2014/main" id="{B59E344E-32D4-187C-B70A-E7F4CF0CAB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96DAC541-7B7A-43D3-8B79-37D633B846F1}">
                <asvg:svgBlip xmlns:asvg="http://schemas.microsoft.com/office/drawing/2016/SVG/main" r:embed="rId27"/>
              </a:ext>
            </a:extLst>
          </a:blip>
          <a:stretch>
            <a:fillRect/>
          </a:stretch>
        </xdr:blipFill>
        <xdr:spPr>
          <a:xfrm>
            <a:off x="2518543024" y="5707750"/>
            <a:ext cx="458366" cy="458366"/>
          </a:xfrm>
          <a:prstGeom prst="rect">
            <a:avLst/>
          </a:prstGeom>
        </xdr:spPr>
      </xdr:pic>
    </xdr:grpSp>
    <xdr:clientData/>
  </xdr:twoCellAnchor>
  <xdr:twoCellAnchor>
    <xdr:from>
      <xdr:col>42</xdr:col>
      <xdr:colOff>67373</xdr:colOff>
      <xdr:row>14</xdr:row>
      <xdr:rowOff>94828</xdr:rowOff>
    </xdr:from>
    <xdr:to>
      <xdr:col>45</xdr:col>
      <xdr:colOff>448373</xdr:colOff>
      <xdr:row>18</xdr:row>
      <xdr:rowOff>79588</xdr:rowOff>
    </xdr:to>
    <xdr:grpSp>
      <xdr:nvGrpSpPr>
        <xdr:cNvPr id="88" name="Group 8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59B39E9D-F6F7-44D0-8802-73F2D10497B5}"/>
            </a:ext>
          </a:extLst>
        </xdr:cNvPr>
        <xdr:cNvGrpSpPr/>
      </xdr:nvGrpSpPr>
      <xdr:grpSpPr>
        <a:xfrm>
          <a:off x="2511263647" y="2228428"/>
          <a:ext cx="1821180" cy="594360"/>
          <a:chOff x="2515430096" y="1422403"/>
          <a:chExt cx="1828800" cy="682414"/>
        </a:xfrm>
      </xdr:grpSpPr>
      <xdr:sp macro="" textlink="">
        <xdr:nvSpPr>
          <xdr:cNvPr id="90" name="Rectangle: Rounded Corners 89">
            <a:hlinkClick xmlns:r="http://schemas.openxmlformats.org/officeDocument/2006/relationships" r:id="rId31"/>
            <a:extLst>
              <a:ext uri="{FF2B5EF4-FFF2-40B4-BE49-F238E27FC236}">
                <a16:creationId xmlns:a16="http://schemas.microsoft.com/office/drawing/2014/main" id="{B3E97E30-8657-6FFB-2FDC-8439DE7ECBBB}"/>
              </a:ext>
            </a:extLst>
          </xdr:cNvPr>
          <xdr:cNvSpPr/>
        </xdr:nvSpPr>
        <xdr:spPr>
          <a:xfrm>
            <a:off x="2515430096" y="1422403"/>
            <a:ext cx="1828800" cy="682414"/>
          </a:xfrm>
          <a:prstGeom prst="roundRect">
            <a:avLst>
              <a:gd name="adj" fmla="val 11686"/>
            </a:avLst>
          </a:prstGeom>
          <a:solidFill>
            <a:schemeClr val="accent1">
              <a:lumMod val="40000"/>
              <a:lumOff val="6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  <a:scene3d>
            <a:camera prst="obliqueTopLef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lvl="1" algn="ctr" rtl="1"/>
            <a:r>
              <a:rPr lang="fa-IR" sz="1100" b="1" cap="none" spc="0">
                <a:ln>
                  <a:noFill/>
                </a:ln>
                <a:solidFill>
                  <a:schemeClr val="tx1"/>
                </a:solidFill>
                <a:effectLst/>
                <a:cs typeface="B Nazanin" panose="00000400000000000000" pitchFamily="2" charset="-78"/>
              </a:rPr>
              <a:t>راهنمای</a:t>
            </a:r>
            <a:r>
              <a:rPr lang="en-US" sz="1100" b="1" cap="none" spc="0">
                <a:ln>
                  <a:noFill/>
                </a:ln>
                <a:solidFill>
                  <a:schemeClr val="tx1"/>
                </a:solidFill>
                <a:effectLst/>
                <a:cs typeface="B Nazanin" panose="00000400000000000000" pitchFamily="2" charset="-78"/>
              </a:rPr>
              <a:t> </a:t>
            </a:r>
            <a:r>
              <a:rPr lang="fa-IR" sz="1100" b="1" cap="none" spc="0">
                <a:ln>
                  <a:noFill/>
                </a:ln>
                <a:solidFill>
                  <a:schemeClr val="tx1"/>
                </a:solidFill>
                <a:effectLst/>
                <a:cs typeface="B Nazanin" panose="00000400000000000000" pitchFamily="2" charset="-78"/>
              </a:rPr>
              <a:t>خروجی</a:t>
            </a:r>
          </a:p>
          <a:p>
            <a:pPr lvl="1" algn="ctr" rtl="1"/>
            <a:r>
              <a:rPr lang="fa-IR" sz="1100" b="1" cap="none" spc="0">
                <a:ln>
                  <a:noFill/>
                </a:ln>
                <a:solidFill>
                  <a:schemeClr val="tx1"/>
                </a:solidFill>
                <a:effectLst/>
                <a:cs typeface="B Nazanin" panose="00000400000000000000" pitchFamily="2" charset="-78"/>
              </a:rPr>
              <a:t> عکس</a:t>
            </a:r>
            <a:r>
              <a:rPr lang="fa-IR" sz="1100" b="1" cap="none" spc="0" baseline="0">
                <a:ln>
                  <a:noFill/>
                </a:ln>
                <a:solidFill>
                  <a:schemeClr val="tx1"/>
                </a:solidFill>
                <a:effectLst/>
                <a:cs typeface="B Nazanin" panose="00000400000000000000" pitchFamily="2" charset="-78"/>
              </a:rPr>
              <a:t> و </a:t>
            </a:r>
            <a:r>
              <a:rPr lang="en-US" sz="1100" b="1" cap="none" spc="0" baseline="0">
                <a:ln>
                  <a:noFill/>
                </a:ln>
                <a:solidFill>
                  <a:schemeClr val="tx1"/>
                </a:solidFill>
                <a:effectLst/>
                <a:cs typeface="B Nazanin" panose="00000400000000000000" pitchFamily="2" charset="-78"/>
              </a:rPr>
              <a:t>PDF</a:t>
            </a:r>
            <a:endParaRPr lang="fa-IR" sz="1100" b="1" cap="none" spc="0">
              <a:ln>
                <a:noFill/>
              </a:ln>
              <a:solidFill>
                <a:schemeClr val="tx1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  <xdr:pic>
        <xdr:nvPicPr>
          <xdr:cNvPr id="95" name="Graphic 94" descr="Lightbulb and gear with solid fill">
            <a:extLst>
              <a:ext uri="{FF2B5EF4-FFF2-40B4-BE49-F238E27FC236}">
                <a16:creationId xmlns:a16="http://schemas.microsoft.com/office/drawing/2014/main" id="{03D0A248-317E-A830-9B5F-ED236535FC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2516697332" y="1496198"/>
            <a:ext cx="493467" cy="59694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m.sharifidoust@yahoo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m.sharifidoust@yaho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44F7C-CC34-4AE5-B0A4-0BE0FDC85FBE}">
  <dimension ref="A1:M45"/>
  <sheetViews>
    <sheetView showGridLines="0" rightToLeft="1" zoomScale="90" zoomScaleNormal="90" workbookViewId="0">
      <selection activeCell="A60" sqref="A60"/>
    </sheetView>
  </sheetViews>
  <sheetFormatPr defaultRowHeight="14.4"/>
  <sheetData>
    <row r="1" spans="1:13">
      <c r="A1" s="431" t="s">
        <v>242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</row>
    <row r="2" spans="1:13">
      <c r="A2" s="431"/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</row>
    <row r="44" spans="1:13" ht="14.4" customHeight="1">
      <c r="A44" s="432" t="s">
        <v>243</v>
      </c>
      <c r="B44" s="432"/>
      <c r="C44" s="432"/>
      <c r="D44" s="432"/>
      <c r="E44" s="432"/>
      <c r="F44" s="432"/>
      <c r="G44" s="432"/>
      <c r="H44" s="432"/>
      <c r="I44" s="432"/>
      <c r="J44" s="432"/>
      <c r="K44" s="432"/>
      <c r="L44" s="432"/>
      <c r="M44" s="432"/>
    </row>
    <row r="45" spans="1:13" ht="14.4" customHeight="1">
      <c r="A45" s="432"/>
      <c r="B45" s="432"/>
      <c r="C45" s="432"/>
      <c r="D45" s="432"/>
      <c r="E45" s="432"/>
      <c r="F45" s="432"/>
      <c r="G45" s="432"/>
      <c r="H45" s="432"/>
      <c r="I45" s="432"/>
      <c r="J45" s="432"/>
      <c r="K45" s="432"/>
      <c r="L45" s="432"/>
      <c r="M45" s="432"/>
    </row>
  </sheetData>
  <mergeCells count="2">
    <mergeCell ref="A1:M2"/>
    <mergeCell ref="A44:M4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E9D7A-5A45-4119-8C61-C1C7569C88CC}">
  <dimension ref="A1:S212"/>
  <sheetViews>
    <sheetView showGridLines="0" rightToLeft="1" workbookViewId="0">
      <selection activeCell="A92" sqref="A92:A107"/>
    </sheetView>
  </sheetViews>
  <sheetFormatPr defaultRowHeight="18"/>
  <cols>
    <col min="1" max="1" width="2.33203125" customWidth="1"/>
    <col min="2" max="2" width="12.109375" style="217" customWidth="1"/>
    <col min="12" max="12" width="12.5546875" customWidth="1"/>
  </cols>
  <sheetData>
    <row r="1" spans="1:19" ht="14.4">
      <c r="A1" s="931"/>
      <c r="B1" s="433" t="s">
        <v>330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</row>
    <row r="2" spans="1:19" ht="14.4"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</row>
    <row r="3" spans="1:19" ht="14.4">
      <c r="B3" s="433"/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</row>
    <row r="4" spans="1:19" ht="14.4" customHeight="1">
      <c r="B4" s="448" t="s">
        <v>302</v>
      </c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</row>
    <row r="5" spans="1:19" ht="14.4" customHeight="1">
      <c r="B5" s="448"/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48"/>
      <c r="Q5" s="448"/>
      <c r="R5" s="448"/>
      <c r="S5" s="448"/>
    </row>
    <row r="6" spans="1:19" ht="14.4" customHeight="1">
      <c r="B6" s="448"/>
      <c r="C6" s="448"/>
      <c r="D6" s="448"/>
      <c r="E6" s="448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</row>
    <row r="7" spans="1:19" ht="12.6" customHeight="1">
      <c r="B7" s="265"/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265"/>
      <c r="S7" s="265"/>
    </row>
    <row r="8" spans="1:19" ht="14.4" customHeight="1">
      <c r="B8" s="456" t="s">
        <v>291</v>
      </c>
      <c r="C8" s="457" t="s">
        <v>292</v>
      </c>
      <c r="D8" s="457"/>
      <c r="E8" s="457"/>
      <c r="F8" s="457"/>
      <c r="G8" s="457"/>
      <c r="H8" s="457"/>
      <c r="I8" s="457"/>
      <c r="J8" s="457"/>
      <c r="K8" s="457"/>
      <c r="L8" s="210"/>
      <c r="M8" s="210"/>
      <c r="N8" s="210"/>
      <c r="O8" s="210"/>
      <c r="P8" s="210"/>
      <c r="Q8" s="210"/>
      <c r="R8" s="210"/>
      <c r="S8" s="210"/>
    </row>
    <row r="9" spans="1:19" ht="14.4" customHeight="1">
      <c r="B9" s="456"/>
      <c r="C9" s="457"/>
      <c r="D9" s="457"/>
      <c r="E9" s="457"/>
      <c r="F9" s="457"/>
      <c r="G9" s="457"/>
      <c r="H9" s="457"/>
      <c r="I9" s="457"/>
      <c r="J9" s="457"/>
      <c r="K9" s="457"/>
      <c r="L9" s="210"/>
      <c r="M9" s="210"/>
      <c r="N9" s="210"/>
      <c r="O9" s="210"/>
      <c r="P9" s="210"/>
      <c r="Q9" s="210"/>
      <c r="R9" s="210"/>
      <c r="S9" s="210"/>
    </row>
    <row r="10" spans="1:19" ht="14.4" customHeight="1">
      <c r="B10" s="456"/>
      <c r="C10" s="457"/>
      <c r="D10" s="457"/>
      <c r="E10" s="457"/>
      <c r="F10" s="457"/>
      <c r="G10" s="457"/>
      <c r="H10" s="457"/>
      <c r="I10" s="457"/>
      <c r="J10" s="457"/>
      <c r="K10" s="457"/>
      <c r="L10" s="210"/>
      <c r="M10" s="210"/>
      <c r="N10" s="210"/>
      <c r="O10" s="210"/>
      <c r="P10" s="210"/>
      <c r="Q10" s="210"/>
      <c r="R10" s="210"/>
      <c r="S10" s="210"/>
    </row>
    <row r="11" spans="1:19" ht="14.4">
      <c r="B11" s="456"/>
      <c r="C11" s="457"/>
      <c r="D11" s="457"/>
      <c r="E11" s="457"/>
      <c r="F11" s="457"/>
      <c r="G11" s="457"/>
      <c r="H11" s="457"/>
      <c r="I11" s="457"/>
      <c r="J11" s="457"/>
      <c r="K11" s="457"/>
      <c r="L11" s="210"/>
      <c r="M11" s="210"/>
      <c r="N11" s="210"/>
      <c r="O11" s="210"/>
      <c r="P11" s="210"/>
      <c r="Q11" s="210"/>
      <c r="R11" s="210"/>
      <c r="S11" s="210"/>
    </row>
    <row r="12" spans="1:19" ht="14.4">
      <c r="B12" s="456"/>
      <c r="C12" s="457"/>
      <c r="D12" s="457"/>
      <c r="E12" s="457"/>
      <c r="F12" s="457"/>
      <c r="G12" s="457"/>
      <c r="H12" s="457"/>
      <c r="I12" s="457"/>
      <c r="J12" s="457"/>
      <c r="K12" s="457"/>
      <c r="L12" s="210"/>
      <c r="M12" s="210"/>
      <c r="N12" s="210"/>
      <c r="O12" s="210"/>
      <c r="P12" s="210"/>
      <c r="Q12" s="210"/>
      <c r="R12" s="210"/>
      <c r="S12" s="210"/>
    </row>
    <row r="13" spans="1:19" ht="14.4">
      <c r="B13" s="456"/>
      <c r="C13" s="457"/>
      <c r="D13" s="457"/>
      <c r="E13" s="457"/>
      <c r="F13" s="457"/>
      <c r="G13" s="457"/>
      <c r="H13" s="457"/>
      <c r="I13" s="457"/>
      <c r="J13" s="457"/>
      <c r="K13" s="457"/>
      <c r="L13" s="210"/>
      <c r="M13" s="210"/>
      <c r="N13" s="210"/>
      <c r="O13" s="210"/>
      <c r="P13" s="210"/>
      <c r="Q13" s="210"/>
      <c r="R13" s="210"/>
      <c r="S13" s="210"/>
    </row>
    <row r="14" spans="1:19" ht="12.6" customHeight="1">
      <c r="B14" s="266"/>
      <c r="C14" s="267"/>
      <c r="D14" s="267"/>
      <c r="E14" s="267"/>
      <c r="F14" s="267"/>
      <c r="G14" s="267"/>
      <c r="H14" s="267"/>
      <c r="I14" s="267"/>
      <c r="J14" s="267"/>
      <c r="K14" s="267"/>
    </row>
    <row r="15" spans="1:19" ht="14.4">
      <c r="B15" s="453" t="s">
        <v>293</v>
      </c>
      <c r="C15" s="454" t="s">
        <v>297</v>
      </c>
      <c r="D15" s="454"/>
      <c r="E15" s="454"/>
      <c r="F15" s="454"/>
      <c r="G15" s="454"/>
      <c r="H15" s="454"/>
      <c r="I15" s="454"/>
      <c r="J15" s="454"/>
      <c r="K15" s="454"/>
      <c r="L15" s="211"/>
      <c r="M15" s="211"/>
      <c r="N15" s="211"/>
      <c r="O15" s="211"/>
      <c r="P15" s="211"/>
      <c r="Q15" s="211"/>
      <c r="R15" s="211"/>
      <c r="S15" s="211"/>
    </row>
    <row r="16" spans="1:19" ht="14.4">
      <c r="B16" s="453"/>
      <c r="C16" s="454"/>
      <c r="D16" s="454"/>
      <c r="E16" s="454"/>
      <c r="F16" s="454"/>
      <c r="G16" s="454"/>
      <c r="H16" s="454"/>
      <c r="I16" s="454"/>
      <c r="J16" s="454"/>
      <c r="K16" s="454"/>
      <c r="L16" s="211"/>
      <c r="M16" s="211"/>
      <c r="N16" s="211"/>
      <c r="O16" s="211"/>
      <c r="P16" s="211"/>
      <c r="Q16" s="211"/>
      <c r="R16" s="211"/>
      <c r="S16" s="211"/>
    </row>
    <row r="17" spans="2:19" ht="14.4">
      <c r="B17" s="453"/>
      <c r="C17" s="454"/>
      <c r="D17" s="454"/>
      <c r="E17" s="454"/>
      <c r="F17" s="454"/>
      <c r="G17" s="454"/>
      <c r="H17" s="454"/>
      <c r="I17" s="454"/>
      <c r="J17" s="454"/>
      <c r="K17" s="454"/>
      <c r="L17" s="211"/>
      <c r="M17" s="211"/>
      <c r="N17" s="211"/>
      <c r="O17" s="211"/>
      <c r="P17" s="211"/>
      <c r="Q17" s="211"/>
      <c r="R17" s="211"/>
      <c r="S17" s="211"/>
    </row>
    <row r="18" spans="2:19" ht="14.4">
      <c r="B18" s="453"/>
      <c r="C18" s="454"/>
      <c r="D18" s="454"/>
      <c r="E18" s="454"/>
      <c r="F18" s="454"/>
      <c r="G18" s="454"/>
      <c r="H18" s="454"/>
      <c r="I18" s="454"/>
      <c r="J18" s="454"/>
      <c r="K18" s="454"/>
      <c r="L18" s="211"/>
      <c r="M18" s="211"/>
      <c r="N18" s="211"/>
      <c r="O18" s="211"/>
      <c r="P18" s="211"/>
      <c r="Q18" s="211"/>
      <c r="R18" s="211"/>
      <c r="S18" s="211"/>
    </row>
    <row r="19" spans="2:19" ht="14.4">
      <c r="B19" s="453"/>
      <c r="C19" s="454"/>
      <c r="D19" s="454"/>
      <c r="E19" s="454"/>
      <c r="F19" s="454"/>
      <c r="G19" s="454"/>
      <c r="H19" s="454"/>
      <c r="I19" s="454"/>
      <c r="J19" s="454"/>
      <c r="K19" s="454"/>
      <c r="L19" s="211"/>
      <c r="M19" s="211"/>
      <c r="N19" s="211"/>
      <c r="O19" s="211"/>
      <c r="P19" s="211"/>
      <c r="Q19" s="211"/>
      <c r="R19" s="211"/>
      <c r="S19" s="211"/>
    </row>
    <row r="20" spans="2:19" ht="14.4">
      <c r="B20" s="453"/>
      <c r="C20" s="454"/>
      <c r="D20" s="454"/>
      <c r="E20" s="454"/>
      <c r="F20" s="454"/>
      <c r="G20" s="454"/>
      <c r="H20" s="454"/>
      <c r="I20" s="454"/>
      <c r="J20" s="454"/>
      <c r="K20" s="454"/>
      <c r="L20" s="211"/>
      <c r="M20" s="211"/>
      <c r="N20" s="211"/>
      <c r="O20" s="211"/>
      <c r="P20" s="211"/>
      <c r="Q20" s="211"/>
      <c r="R20" s="211"/>
      <c r="S20" s="211"/>
    </row>
    <row r="21" spans="2:19" ht="11.4" customHeight="1">
      <c r="B21" s="266"/>
      <c r="C21" s="267"/>
      <c r="D21" s="267"/>
      <c r="E21" s="267"/>
      <c r="F21" s="267"/>
      <c r="G21" s="267"/>
      <c r="H21" s="267"/>
      <c r="I21" s="267"/>
      <c r="J21" s="267"/>
      <c r="K21" s="267"/>
    </row>
    <row r="22" spans="2:19" ht="14.4" customHeight="1">
      <c r="B22" s="455" t="s">
        <v>294</v>
      </c>
      <c r="C22" s="439" t="s">
        <v>296</v>
      </c>
      <c r="D22" s="439"/>
      <c r="E22" s="439"/>
      <c r="F22" s="439"/>
      <c r="G22" s="439"/>
      <c r="H22" s="439"/>
      <c r="I22" s="439"/>
      <c r="J22" s="439"/>
      <c r="K22" s="439"/>
      <c r="L22" s="212"/>
      <c r="M22" s="212"/>
      <c r="N22" s="212"/>
      <c r="O22" s="212"/>
      <c r="P22" s="212"/>
      <c r="Q22" s="212"/>
      <c r="R22" s="212"/>
      <c r="S22" s="212"/>
    </row>
    <row r="23" spans="2:19" ht="14.4" customHeight="1">
      <c r="B23" s="455"/>
      <c r="C23" s="439"/>
      <c r="D23" s="439"/>
      <c r="E23" s="439"/>
      <c r="F23" s="439"/>
      <c r="G23" s="439"/>
      <c r="H23" s="439"/>
      <c r="I23" s="439"/>
      <c r="J23" s="439"/>
      <c r="K23" s="439"/>
      <c r="L23" s="212"/>
      <c r="M23" s="212"/>
      <c r="N23" s="212"/>
      <c r="O23" s="212"/>
      <c r="P23" s="212"/>
      <c r="Q23" s="212"/>
      <c r="R23" s="212"/>
      <c r="S23" s="212"/>
    </row>
    <row r="24" spans="2:19" ht="14.4" customHeight="1">
      <c r="B24" s="455"/>
      <c r="C24" s="439"/>
      <c r="D24" s="439"/>
      <c r="E24" s="439"/>
      <c r="F24" s="439"/>
      <c r="G24" s="439"/>
      <c r="H24" s="439"/>
      <c r="I24" s="439"/>
      <c r="J24" s="439"/>
      <c r="K24" s="439"/>
      <c r="L24" s="212"/>
      <c r="M24" s="212"/>
      <c r="N24" s="212"/>
      <c r="O24" s="212"/>
      <c r="P24" s="212"/>
      <c r="Q24" s="212"/>
      <c r="R24" s="212"/>
      <c r="S24" s="212"/>
    </row>
    <row r="25" spans="2:19" ht="14.4" customHeight="1">
      <c r="B25" s="455"/>
      <c r="C25" s="439"/>
      <c r="D25" s="439"/>
      <c r="E25" s="439"/>
      <c r="F25" s="439"/>
      <c r="G25" s="439"/>
      <c r="H25" s="439"/>
      <c r="I25" s="439"/>
      <c r="J25" s="439"/>
      <c r="K25" s="439"/>
      <c r="L25" s="212"/>
      <c r="M25" s="212"/>
      <c r="N25" s="212"/>
      <c r="O25" s="212"/>
      <c r="P25" s="212"/>
      <c r="Q25" s="212"/>
      <c r="R25" s="212"/>
      <c r="S25" s="212"/>
    </row>
    <row r="26" spans="2:19" ht="14.4" customHeight="1">
      <c r="B26" s="455"/>
      <c r="C26" s="439"/>
      <c r="D26" s="439"/>
      <c r="E26" s="439"/>
      <c r="F26" s="439"/>
      <c r="G26" s="439"/>
      <c r="H26" s="439"/>
      <c r="I26" s="439"/>
      <c r="J26" s="439"/>
      <c r="K26" s="439"/>
      <c r="L26" s="212"/>
      <c r="M26" s="212"/>
      <c r="N26" s="212"/>
      <c r="O26" s="212"/>
      <c r="P26" s="212"/>
      <c r="Q26" s="212"/>
      <c r="R26" s="212"/>
      <c r="S26" s="212"/>
    </row>
    <row r="27" spans="2:19" ht="14.4" customHeight="1">
      <c r="B27" s="455"/>
      <c r="C27" s="439"/>
      <c r="D27" s="439"/>
      <c r="E27" s="439"/>
      <c r="F27" s="439"/>
      <c r="G27" s="439"/>
      <c r="H27" s="439"/>
      <c r="I27" s="439"/>
      <c r="J27" s="439"/>
      <c r="K27" s="439"/>
      <c r="L27" s="212"/>
      <c r="M27" s="212"/>
      <c r="N27" s="212"/>
      <c r="O27" s="212"/>
      <c r="P27" s="212"/>
      <c r="Q27" s="212"/>
      <c r="R27" s="212"/>
      <c r="S27" s="212"/>
    </row>
    <row r="28" spans="2:19" ht="14.4">
      <c r="B28" s="455"/>
      <c r="C28" s="439"/>
      <c r="D28" s="439"/>
      <c r="E28" s="439"/>
      <c r="F28" s="439"/>
      <c r="G28" s="439"/>
      <c r="H28" s="439"/>
      <c r="I28" s="439"/>
      <c r="J28" s="439"/>
      <c r="K28" s="439"/>
      <c r="L28" s="212"/>
      <c r="M28" s="212"/>
      <c r="N28" s="212"/>
      <c r="O28" s="212"/>
      <c r="P28" s="212"/>
      <c r="Q28" s="212"/>
      <c r="R28" s="212"/>
      <c r="S28" s="212"/>
    </row>
    <row r="29" spans="2:19" ht="14.4">
      <c r="B29" s="455"/>
      <c r="C29" s="439"/>
      <c r="D29" s="439"/>
      <c r="E29" s="439"/>
      <c r="F29" s="439"/>
      <c r="G29" s="439"/>
      <c r="H29" s="439"/>
      <c r="I29" s="439"/>
      <c r="J29" s="439"/>
      <c r="K29" s="439"/>
      <c r="L29" s="212"/>
      <c r="M29" s="212"/>
      <c r="N29" s="212"/>
      <c r="O29" s="212"/>
      <c r="P29" s="212"/>
      <c r="Q29" s="212"/>
      <c r="R29" s="212"/>
      <c r="S29" s="212"/>
    </row>
    <row r="30" spans="2:19" ht="14.4">
      <c r="B30" s="455"/>
      <c r="C30" s="439"/>
      <c r="D30" s="439"/>
      <c r="E30" s="439"/>
      <c r="F30" s="439"/>
      <c r="G30" s="439"/>
      <c r="H30" s="439"/>
      <c r="I30" s="439"/>
      <c r="J30" s="439"/>
      <c r="K30" s="439"/>
      <c r="L30" s="212"/>
      <c r="M30" s="212"/>
      <c r="N30" s="212"/>
      <c r="O30" s="212"/>
      <c r="P30" s="212"/>
      <c r="Q30" s="212"/>
      <c r="R30" s="212"/>
      <c r="S30" s="212"/>
    </row>
    <row r="31" spans="2:19" ht="12.6" customHeight="1">
      <c r="B31" s="266"/>
      <c r="C31" s="267"/>
      <c r="D31" s="267"/>
      <c r="E31" s="267"/>
      <c r="F31" s="267"/>
      <c r="G31" s="267"/>
      <c r="H31" s="267"/>
      <c r="I31" s="267"/>
      <c r="J31" s="267"/>
      <c r="K31" s="267"/>
    </row>
    <row r="32" spans="2:19" ht="14.4">
      <c r="B32" s="449" t="s">
        <v>295</v>
      </c>
      <c r="C32" s="450" t="s">
        <v>303</v>
      </c>
      <c r="D32" s="450"/>
      <c r="E32" s="450"/>
      <c r="F32" s="450"/>
      <c r="G32" s="450"/>
      <c r="H32" s="450"/>
      <c r="I32" s="450"/>
      <c r="J32" s="450"/>
      <c r="K32" s="450"/>
      <c r="L32" s="213"/>
      <c r="M32" s="213"/>
      <c r="N32" s="213"/>
      <c r="O32" s="213"/>
      <c r="P32" s="213"/>
      <c r="Q32" s="213"/>
      <c r="R32" s="213"/>
      <c r="S32" s="213"/>
    </row>
    <row r="33" spans="2:19" ht="14.4">
      <c r="B33" s="449"/>
      <c r="C33" s="450"/>
      <c r="D33" s="450"/>
      <c r="E33" s="450"/>
      <c r="F33" s="450"/>
      <c r="G33" s="450"/>
      <c r="H33" s="450"/>
      <c r="I33" s="450"/>
      <c r="J33" s="450"/>
      <c r="K33" s="450"/>
      <c r="L33" s="213"/>
      <c r="M33" s="213"/>
      <c r="N33" s="213"/>
      <c r="O33" s="213"/>
      <c r="P33" s="213"/>
      <c r="Q33" s="213"/>
      <c r="R33" s="213"/>
      <c r="S33" s="213"/>
    </row>
    <row r="34" spans="2:19" ht="14.4">
      <c r="B34" s="449"/>
      <c r="C34" s="450"/>
      <c r="D34" s="450"/>
      <c r="E34" s="450"/>
      <c r="F34" s="450"/>
      <c r="G34" s="450"/>
      <c r="H34" s="450"/>
      <c r="I34" s="450"/>
      <c r="J34" s="450"/>
      <c r="K34" s="450"/>
      <c r="L34" s="213"/>
      <c r="M34" s="213"/>
      <c r="N34" s="213"/>
      <c r="O34" s="213"/>
      <c r="P34" s="213"/>
      <c r="Q34" s="213"/>
      <c r="R34" s="213"/>
      <c r="S34" s="213"/>
    </row>
    <row r="35" spans="2:19" ht="14.4">
      <c r="B35" s="449"/>
      <c r="C35" s="450"/>
      <c r="D35" s="450"/>
      <c r="E35" s="450"/>
      <c r="F35" s="450"/>
      <c r="G35" s="450"/>
      <c r="H35" s="450"/>
      <c r="I35" s="450"/>
      <c r="J35" s="450"/>
      <c r="K35" s="450"/>
      <c r="L35" s="213"/>
      <c r="M35" s="213"/>
      <c r="N35" s="213"/>
      <c r="O35" s="213"/>
      <c r="P35" s="213"/>
      <c r="Q35" s="213"/>
      <c r="R35" s="213"/>
      <c r="S35" s="213"/>
    </row>
    <row r="36" spans="2:19" ht="14.4">
      <c r="B36" s="449"/>
      <c r="C36" s="450"/>
      <c r="D36" s="450"/>
      <c r="E36" s="450"/>
      <c r="F36" s="450"/>
      <c r="G36" s="450"/>
      <c r="H36" s="450"/>
      <c r="I36" s="450"/>
      <c r="J36" s="450"/>
      <c r="K36" s="450"/>
      <c r="L36" s="213"/>
      <c r="M36" s="213"/>
      <c r="N36" s="213"/>
      <c r="O36" s="213"/>
      <c r="P36" s="213"/>
      <c r="Q36" s="213"/>
      <c r="R36" s="213"/>
      <c r="S36" s="213"/>
    </row>
    <row r="37" spans="2:19" ht="14.4">
      <c r="B37" s="449"/>
      <c r="C37" s="450"/>
      <c r="D37" s="450"/>
      <c r="E37" s="450"/>
      <c r="F37" s="450"/>
      <c r="G37" s="450"/>
      <c r="H37" s="450"/>
      <c r="I37" s="450"/>
      <c r="J37" s="450"/>
      <c r="K37" s="450"/>
      <c r="L37" s="213"/>
      <c r="M37" s="213"/>
      <c r="N37" s="213"/>
      <c r="O37" s="213"/>
      <c r="P37" s="213"/>
      <c r="Q37" s="213"/>
      <c r="R37" s="213"/>
      <c r="S37" s="213"/>
    </row>
    <row r="38" spans="2:19" ht="11.4" customHeight="1">
      <c r="B38" s="268"/>
      <c r="C38" s="267"/>
      <c r="D38" s="267"/>
      <c r="E38" s="267"/>
      <c r="F38" s="267"/>
      <c r="G38" s="267"/>
      <c r="H38" s="267"/>
      <c r="I38" s="267"/>
      <c r="J38" s="267"/>
      <c r="K38" s="267"/>
    </row>
    <row r="39" spans="2:19" ht="14.4" customHeight="1">
      <c r="B39" s="452" t="s">
        <v>298</v>
      </c>
      <c r="C39" s="451" t="s">
        <v>304</v>
      </c>
      <c r="D39" s="451"/>
      <c r="E39" s="451"/>
      <c r="F39" s="451"/>
      <c r="G39" s="451"/>
      <c r="H39" s="451"/>
      <c r="I39" s="451"/>
      <c r="J39" s="451"/>
      <c r="K39" s="451"/>
      <c r="L39" s="214"/>
      <c r="M39" s="214"/>
      <c r="N39" s="214"/>
      <c r="O39" s="214"/>
      <c r="P39" s="214"/>
      <c r="Q39" s="214"/>
      <c r="R39" s="214"/>
      <c r="S39" s="214"/>
    </row>
    <row r="40" spans="2:19" ht="14.4" customHeight="1">
      <c r="B40" s="452"/>
      <c r="C40" s="451"/>
      <c r="D40" s="451"/>
      <c r="E40" s="451"/>
      <c r="F40" s="451"/>
      <c r="G40" s="451"/>
      <c r="H40" s="451"/>
      <c r="I40" s="451"/>
      <c r="J40" s="451"/>
      <c r="K40" s="451"/>
      <c r="L40" s="214"/>
      <c r="M40" s="214"/>
      <c r="N40" s="214"/>
      <c r="O40" s="214"/>
      <c r="P40" s="214"/>
      <c r="Q40" s="214"/>
      <c r="R40" s="214"/>
      <c r="S40" s="214"/>
    </row>
    <row r="41" spans="2:19" ht="14.4" customHeight="1">
      <c r="B41" s="452"/>
      <c r="C41" s="451"/>
      <c r="D41" s="451"/>
      <c r="E41" s="451"/>
      <c r="F41" s="451"/>
      <c r="G41" s="451"/>
      <c r="H41" s="451"/>
      <c r="I41" s="451"/>
      <c r="J41" s="451"/>
      <c r="K41" s="451"/>
      <c r="L41" s="214"/>
      <c r="M41" s="214"/>
      <c r="N41" s="214"/>
      <c r="O41" s="214"/>
      <c r="P41" s="214"/>
      <c r="Q41" s="214"/>
      <c r="R41" s="214"/>
      <c r="S41" s="214"/>
    </row>
    <row r="42" spans="2:19" ht="14.4" customHeight="1">
      <c r="B42" s="452"/>
      <c r="C42" s="451"/>
      <c r="D42" s="451"/>
      <c r="E42" s="451"/>
      <c r="F42" s="451"/>
      <c r="G42" s="451"/>
      <c r="H42" s="451"/>
      <c r="I42" s="451"/>
      <c r="J42" s="451"/>
      <c r="K42" s="451"/>
      <c r="L42" s="214"/>
      <c r="M42" s="214"/>
      <c r="N42" s="214"/>
      <c r="O42" s="214"/>
      <c r="P42" s="214"/>
      <c r="Q42" s="214"/>
      <c r="R42" s="214"/>
      <c r="S42" s="214"/>
    </row>
    <row r="43" spans="2:19" ht="14.4" customHeight="1">
      <c r="B43" s="452"/>
      <c r="C43" s="451"/>
      <c r="D43" s="451"/>
      <c r="E43" s="451"/>
      <c r="F43" s="451"/>
      <c r="G43" s="451"/>
      <c r="H43" s="451"/>
      <c r="I43" s="451"/>
      <c r="J43" s="451"/>
      <c r="K43" s="451"/>
      <c r="L43" s="214"/>
      <c r="M43" s="214"/>
      <c r="N43" s="214"/>
      <c r="O43" s="214"/>
      <c r="P43" s="214"/>
      <c r="Q43" s="214"/>
      <c r="R43" s="214"/>
      <c r="S43" s="214"/>
    </row>
    <row r="44" spans="2:19" ht="14.4" customHeight="1">
      <c r="B44" s="452"/>
      <c r="C44" s="451"/>
      <c r="D44" s="451"/>
      <c r="E44" s="451"/>
      <c r="F44" s="451"/>
      <c r="G44" s="451"/>
      <c r="H44" s="451"/>
      <c r="I44" s="451"/>
      <c r="J44" s="451"/>
      <c r="K44" s="451"/>
      <c r="L44" s="214"/>
      <c r="M44" s="214"/>
      <c r="N44" s="214"/>
      <c r="O44" s="214"/>
      <c r="P44" s="214"/>
      <c r="Q44" s="214"/>
      <c r="R44" s="214"/>
      <c r="S44" s="214"/>
    </row>
    <row r="45" spans="2:19" ht="14.4">
      <c r="B45" s="452"/>
      <c r="C45" s="451"/>
      <c r="D45" s="451"/>
      <c r="E45" s="451"/>
      <c r="F45" s="451"/>
      <c r="G45" s="451"/>
      <c r="H45" s="451"/>
      <c r="I45" s="451"/>
      <c r="J45" s="451"/>
      <c r="K45" s="451"/>
      <c r="L45" s="214"/>
      <c r="M45" s="214"/>
      <c r="N45" s="214"/>
      <c r="O45" s="214"/>
      <c r="P45" s="214"/>
      <c r="Q45" s="214"/>
      <c r="R45" s="214"/>
      <c r="S45" s="214"/>
    </row>
    <row r="46" spans="2:19" ht="14.4">
      <c r="B46" s="452"/>
      <c r="C46" s="451"/>
      <c r="D46" s="451"/>
      <c r="E46" s="451"/>
      <c r="F46" s="451"/>
      <c r="G46" s="451"/>
      <c r="H46" s="451"/>
      <c r="I46" s="451"/>
      <c r="J46" s="451"/>
      <c r="K46" s="451"/>
      <c r="L46" s="214"/>
      <c r="M46" s="214"/>
      <c r="N46" s="214"/>
      <c r="O46" s="214"/>
      <c r="P46" s="214"/>
      <c r="Q46" s="214"/>
      <c r="R46" s="214"/>
      <c r="S46" s="214"/>
    </row>
    <row r="47" spans="2:19" ht="14.4">
      <c r="B47" s="452"/>
      <c r="C47" s="451"/>
      <c r="D47" s="451"/>
      <c r="E47" s="451"/>
      <c r="F47" s="451"/>
      <c r="G47" s="451"/>
      <c r="H47" s="451"/>
      <c r="I47" s="451"/>
      <c r="J47" s="451"/>
      <c r="K47" s="451"/>
      <c r="L47" s="214"/>
      <c r="M47" s="214"/>
      <c r="N47" s="214"/>
      <c r="O47" s="214"/>
      <c r="P47" s="214"/>
      <c r="Q47" s="214"/>
      <c r="R47" s="214"/>
      <c r="S47" s="214"/>
    </row>
    <row r="48" spans="2:19" ht="14.4">
      <c r="B48" s="452"/>
      <c r="C48" s="451"/>
      <c r="D48" s="451"/>
      <c r="E48" s="451"/>
      <c r="F48" s="451"/>
      <c r="G48" s="451"/>
      <c r="H48" s="451"/>
      <c r="I48" s="451"/>
      <c r="J48" s="451"/>
      <c r="K48" s="451"/>
      <c r="L48" s="214"/>
      <c r="M48" s="214"/>
      <c r="N48" s="214"/>
      <c r="O48" s="214"/>
      <c r="P48" s="214"/>
      <c r="Q48" s="214"/>
      <c r="R48" s="214"/>
      <c r="S48" s="214"/>
    </row>
    <row r="49" spans="2:19" ht="11.4" customHeight="1">
      <c r="B49" s="268"/>
      <c r="C49" s="267"/>
      <c r="D49" s="267"/>
      <c r="E49" s="267"/>
      <c r="F49" s="267"/>
      <c r="G49" s="267"/>
      <c r="H49" s="267"/>
      <c r="I49" s="267"/>
      <c r="J49" s="267"/>
      <c r="K49" s="267"/>
    </row>
    <row r="50" spans="2:19" ht="14.4">
      <c r="B50" s="444" t="s">
        <v>299</v>
      </c>
      <c r="C50" s="443" t="s">
        <v>305</v>
      </c>
      <c r="D50" s="443"/>
      <c r="E50" s="443"/>
      <c r="F50" s="443"/>
      <c r="G50" s="443"/>
      <c r="H50" s="443"/>
      <c r="I50" s="443"/>
      <c r="J50" s="443"/>
      <c r="K50" s="443"/>
      <c r="L50" s="215"/>
      <c r="M50" s="215"/>
      <c r="N50" s="215"/>
      <c r="O50" s="215"/>
      <c r="P50" s="215"/>
      <c r="Q50" s="215"/>
      <c r="R50" s="215"/>
      <c r="S50" s="215"/>
    </row>
    <row r="51" spans="2:19" ht="14.4">
      <c r="B51" s="444"/>
      <c r="C51" s="443"/>
      <c r="D51" s="443"/>
      <c r="E51" s="443"/>
      <c r="F51" s="443"/>
      <c r="G51" s="443"/>
      <c r="H51" s="443"/>
      <c r="I51" s="443"/>
      <c r="J51" s="443"/>
      <c r="K51" s="443"/>
      <c r="L51" s="215"/>
      <c r="M51" s="215"/>
      <c r="N51" s="215"/>
      <c r="O51" s="215"/>
      <c r="P51" s="215"/>
      <c r="Q51" s="215"/>
      <c r="R51" s="215"/>
      <c r="S51" s="215"/>
    </row>
    <row r="52" spans="2:19" ht="14.4">
      <c r="B52" s="444"/>
      <c r="C52" s="443"/>
      <c r="D52" s="443"/>
      <c r="E52" s="443"/>
      <c r="F52" s="443"/>
      <c r="G52" s="443"/>
      <c r="H52" s="443"/>
      <c r="I52" s="443"/>
      <c r="J52" s="443"/>
      <c r="K52" s="443"/>
      <c r="L52" s="215"/>
      <c r="M52" s="215"/>
      <c r="N52" s="215"/>
      <c r="O52" s="215"/>
      <c r="P52" s="215"/>
      <c r="Q52" s="215"/>
      <c r="R52" s="215"/>
      <c r="S52" s="215"/>
    </row>
    <row r="53" spans="2:19" ht="14.4">
      <c r="B53" s="444"/>
      <c r="C53" s="443"/>
      <c r="D53" s="443"/>
      <c r="E53" s="443"/>
      <c r="F53" s="443"/>
      <c r="G53" s="443"/>
      <c r="H53" s="443"/>
      <c r="I53" s="443"/>
      <c r="J53" s="443"/>
      <c r="K53" s="443"/>
      <c r="L53" s="215"/>
      <c r="M53" s="215"/>
      <c r="N53" s="215"/>
      <c r="O53" s="215"/>
      <c r="P53" s="215"/>
      <c r="Q53" s="215"/>
      <c r="R53" s="215"/>
      <c r="S53" s="215"/>
    </row>
    <row r="54" spans="2:19" ht="14.4">
      <c r="B54" s="444"/>
      <c r="C54" s="443"/>
      <c r="D54" s="443"/>
      <c r="E54" s="443"/>
      <c r="F54" s="443"/>
      <c r="G54" s="443"/>
      <c r="H54" s="443"/>
      <c r="I54" s="443"/>
      <c r="J54" s="443"/>
      <c r="K54" s="443"/>
      <c r="L54" s="215"/>
      <c r="M54" s="215"/>
      <c r="N54" s="215"/>
      <c r="O54" s="215"/>
      <c r="P54" s="215"/>
      <c r="Q54" s="215"/>
      <c r="R54" s="215"/>
      <c r="S54" s="215"/>
    </row>
    <row r="55" spans="2:19" ht="14.4">
      <c r="B55" s="444"/>
      <c r="C55" s="443"/>
      <c r="D55" s="443"/>
      <c r="E55" s="443"/>
      <c r="F55" s="443"/>
      <c r="G55" s="443"/>
      <c r="H55" s="443"/>
      <c r="I55" s="443"/>
      <c r="J55" s="443"/>
      <c r="K55" s="443"/>
      <c r="L55" s="215"/>
      <c r="M55" s="215"/>
      <c r="N55" s="215"/>
      <c r="O55" s="215"/>
      <c r="P55" s="215"/>
      <c r="Q55" s="215"/>
      <c r="R55" s="215"/>
      <c r="S55" s="215"/>
    </row>
    <row r="56" spans="2:19" ht="14.4">
      <c r="B56" s="444"/>
      <c r="C56" s="443"/>
      <c r="D56" s="443"/>
      <c r="E56" s="443"/>
      <c r="F56" s="443"/>
      <c r="G56" s="443"/>
      <c r="H56" s="443"/>
      <c r="I56" s="443"/>
      <c r="J56" s="443"/>
      <c r="K56" s="443"/>
      <c r="L56" s="215"/>
      <c r="M56" s="215"/>
      <c r="N56" s="215"/>
      <c r="O56" s="215"/>
      <c r="P56" s="215"/>
      <c r="Q56" s="215"/>
      <c r="R56" s="215"/>
      <c r="S56" s="215"/>
    </row>
    <row r="57" spans="2:19" ht="14.4">
      <c r="B57" s="444"/>
      <c r="C57" s="443"/>
      <c r="D57" s="443"/>
      <c r="E57" s="443"/>
      <c r="F57" s="443"/>
      <c r="G57" s="443"/>
      <c r="H57" s="443"/>
      <c r="I57" s="443"/>
      <c r="J57" s="443"/>
      <c r="K57" s="443"/>
      <c r="L57" s="215"/>
      <c r="M57" s="215"/>
      <c r="N57" s="215"/>
      <c r="O57" s="215"/>
      <c r="P57" s="215"/>
      <c r="Q57" s="215"/>
      <c r="R57" s="215"/>
      <c r="S57" s="215"/>
    </row>
    <row r="58" spans="2:19" ht="12" customHeight="1">
      <c r="B58" s="268"/>
      <c r="C58" s="269"/>
      <c r="D58" s="269"/>
      <c r="E58" s="269"/>
      <c r="F58" s="269"/>
      <c r="G58" s="269"/>
      <c r="H58" s="269"/>
      <c r="I58" s="269"/>
      <c r="J58" s="269"/>
      <c r="K58" s="269"/>
    </row>
    <row r="59" spans="2:19" ht="14.4">
      <c r="B59" s="445" t="s">
        <v>300</v>
      </c>
      <c r="C59" s="446" t="s">
        <v>301</v>
      </c>
      <c r="D59" s="447"/>
      <c r="E59" s="447"/>
      <c r="F59" s="447"/>
      <c r="G59" s="447"/>
      <c r="H59" s="447"/>
      <c r="I59" s="447"/>
      <c r="J59" s="447"/>
      <c r="K59" s="447"/>
      <c r="L59" s="216"/>
      <c r="M59" s="216"/>
      <c r="N59" s="216"/>
      <c r="O59" s="216"/>
      <c r="P59" s="216"/>
      <c r="Q59" s="216"/>
      <c r="R59" s="216"/>
      <c r="S59" s="216"/>
    </row>
    <row r="60" spans="2:19" ht="14.4">
      <c r="B60" s="445"/>
      <c r="C60" s="447"/>
      <c r="D60" s="447"/>
      <c r="E60" s="447"/>
      <c r="F60" s="447"/>
      <c r="G60" s="447"/>
      <c r="H60" s="447"/>
      <c r="I60" s="447"/>
      <c r="J60" s="447"/>
      <c r="K60" s="447"/>
      <c r="L60" s="216"/>
      <c r="M60" s="216"/>
      <c r="N60" s="216"/>
      <c r="O60" s="216"/>
      <c r="P60" s="216"/>
      <c r="Q60" s="216"/>
      <c r="R60" s="216"/>
      <c r="S60" s="216"/>
    </row>
    <row r="61" spans="2:19" ht="14.4">
      <c r="B61" s="445"/>
      <c r="C61" s="447"/>
      <c r="D61" s="447"/>
      <c r="E61" s="447"/>
      <c r="F61" s="447"/>
      <c r="G61" s="447"/>
      <c r="H61" s="447"/>
      <c r="I61" s="447"/>
      <c r="J61" s="447"/>
      <c r="K61" s="447"/>
      <c r="L61" s="216"/>
      <c r="M61" s="216"/>
      <c r="N61" s="216"/>
      <c r="O61" s="216"/>
      <c r="P61" s="216"/>
      <c r="Q61" s="216"/>
      <c r="R61" s="216"/>
      <c r="S61" s="216"/>
    </row>
    <row r="62" spans="2:19" ht="14.4">
      <c r="B62" s="445"/>
      <c r="C62" s="447"/>
      <c r="D62" s="447"/>
      <c r="E62" s="447"/>
      <c r="F62" s="447"/>
      <c r="G62" s="447"/>
      <c r="H62" s="447"/>
      <c r="I62" s="447"/>
      <c r="J62" s="447"/>
      <c r="K62" s="447"/>
      <c r="L62" s="216"/>
      <c r="M62" s="216"/>
      <c r="N62" s="216"/>
      <c r="O62" s="216"/>
      <c r="P62" s="216"/>
      <c r="Q62" s="216"/>
      <c r="R62" s="216"/>
      <c r="S62" s="216"/>
    </row>
    <row r="63" spans="2:19" ht="14.4">
      <c r="B63" s="445"/>
      <c r="C63" s="447"/>
      <c r="D63" s="447"/>
      <c r="E63" s="447"/>
      <c r="F63" s="447"/>
      <c r="G63" s="447"/>
      <c r="H63" s="447"/>
      <c r="I63" s="447"/>
      <c r="J63" s="447"/>
      <c r="K63" s="447"/>
      <c r="L63" s="216"/>
      <c r="M63" s="216"/>
      <c r="N63" s="216"/>
      <c r="O63" s="216"/>
      <c r="P63" s="216"/>
      <c r="Q63" s="216"/>
      <c r="R63" s="216"/>
      <c r="S63" s="216"/>
    </row>
    <row r="64" spans="2:19" ht="14.4">
      <c r="B64" s="445"/>
      <c r="C64" s="447"/>
      <c r="D64" s="447"/>
      <c r="E64" s="447"/>
      <c r="F64" s="447"/>
      <c r="G64" s="447"/>
      <c r="H64" s="447"/>
      <c r="I64" s="447"/>
      <c r="J64" s="447"/>
      <c r="K64" s="447"/>
      <c r="L64" s="216"/>
      <c r="M64" s="216"/>
      <c r="N64" s="216"/>
      <c r="O64" s="216"/>
      <c r="P64" s="216"/>
      <c r="Q64" s="216"/>
      <c r="R64" s="216"/>
      <c r="S64" s="216"/>
    </row>
    <row r="65" spans="2:19" ht="14.4">
      <c r="B65" s="445"/>
      <c r="C65" s="447"/>
      <c r="D65" s="447"/>
      <c r="E65" s="447"/>
      <c r="F65" s="447"/>
      <c r="G65" s="447"/>
      <c r="H65" s="447"/>
      <c r="I65" s="447"/>
      <c r="J65" s="447"/>
      <c r="K65" s="447"/>
      <c r="L65" s="216"/>
      <c r="M65" s="216"/>
      <c r="N65" s="216"/>
      <c r="O65" s="216"/>
      <c r="P65" s="216"/>
      <c r="Q65" s="216"/>
      <c r="R65" s="216"/>
      <c r="S65" s="216"/>
    </row>
    <row r="66" spans="2:19" ht="14.4">
      <c r="B66" s="445"/>
      <c r="C66" s="447"/>
      <c r="D66" s="447"/>
      <c r="E66" s="447"/>
      <c r="F66" s="447"/>
      <c r="G66" s="447"/>
      <c r="H66" s="447"/>
      <c r="I66" s="447"/>
      <c r="J66" s="447"/>
      <c r="K66" s="447"/>
      <c r="L66" s="216"/>
      <c r="M66" s="216"/>
      <c r="N66" s="216"/>
      <c r="O66" s="216"/>
      <c r="P66" s="216"/>
      <c r="Q66" s="216"/>
      <c r="R66" s="216"/>
      <c r="S66" s="216"/>
    </row>
    <row r="67" spans="2:19" ht="14.4">
      <c r="B67" s="445"/>
      <c r="C67" s="447"/>
      <c r="D67" s="447"/>
      <c r="E67" s="447"/>
      <c r="F67" s="447"/>
      <c r="G67" s="447"/>
      <c r="H67" s="447"/>
      <c r="I67" s="447"/>
      <c r="J67" s="447"/>
      <c r="K67" s="447"/>
      <c r="L67" s="216"/>
      <c r="M67" s="216"/>
      <c r="N67" s="216"/>
      <c r="O67" s="216"/>
      <c r="P67" s="216"/>
      <c r="Q67" s="216"/>
      <c r="R67" s="216"/>
      <c r="S67" s="216"/>
    </row>
    <row r="68" spans="2:19" ht="14.4">
      <c r="B68" s="445"/>
      <c r="C68" s="447"/>
      <c r="D68" s="447"/>
      <c r="E68" s="447"/>
      <c r="F68" s="447"/>
      <c r="G68" s="447"/>
      <c r="H68" s="447"/>
      <c r="I68" s="447"/>
      <c r="J68" s="447"/>
      <c r="K68" s="447"/>
      <c r="L68" s="216"/>
      <c r="M68" s="216"/>
      <c r="N68" s="216"/>
      <c r="O68" s="216"/>
      <c r="P68" s="216"/>
      <c r="Q68" s="216"/>
      <c r="R68" s="216"/>
      <c r="S68" s="216"/>
    </row>
    <row r="69" spans="2:19" ht="14.4">
      <c r="B69" s="445"/>
      <c r="C69" s="447"/>
      <c r="D69" s="447"/>
      <c r="E69" s="447"/>
      <c r="F69" s="447"/>
      <c r="G69" s="447"/>
      <c r="H69" s="447"/>
      <c r="I69" s="447"/>
      <c r="J69" s="447"/>
      <c r="K69" s="447"/>
      <c r="L69" s="216"/>
      <c r="M69" s="216"/>
      <c r="N69" s="216"/>
      <c r="O69" s="216"/>
      <c r="P69" s="216"/>
      <c r="Q69" s="216"/>
      <c r="R69" s="216"/>
      <c r="S69" s="216"/>
    </row>
    <row r="70" spans="2:19" ht="14.4">
      <c r="B70" s="445"/>
      <c r="C70" s="447"/>
      <c r="D70" s="447"/>
      <c r="E70" s="447"/>
      <c r="F70" s="447"/>
      <c r="G70" s="447"/>
      <c r="H70" s="447"/>
      <c r="I70" s="447"/>
      <c r="J70" s="447"/>
      <c r="K70" s="447"/>
      <c r="L70" s="216"/>
      <c r="M70" s="216"/>
      <c r="N70" s="216"/>
      <c r="O70" s="216"/>
      <c r="P70" s="216"/>
      <c r="Q70" s="216"/>
      <c r="R70" s="216"/>
      <c r="S70" s="216"/>
    </row>
    <row r="71" spans="2:19" ht="14.4">
      <c r="B71" s="445"/>
      <c r="C71" s="447"/>
      <c r="D71" s="447"/>
      <c r="E71" s="447"/>
      <c r="F71" s="447"/>
      <c r="G71" s="447"/>
      <c r="H71" s="447"/>
      <c r="I71" s="447"/>
      <c r="J71" s="447"/>
      <c r="K71" s="447"/>
      <c r="L71" s="216"/>
      <c r="M71" s="216"/>
      <c r="N71" s="216"/>
      <c r="O71" s="216"/>
      <c r="P71" s="216"/>
      <c r="Q71" s="216"/>
      <c r="R71" s="216"/>
      <c r="S71" s="216"/>
    </row>
    <row r="72" spans="2:19" ht="14.4">
      <c r="B72" s="445"/>
      <c r="C72" s="447"/>
      <c r="D72" s="447"/>
      <c r="E72" s="447"/>
      <c r="F72" s="447"/>
      <c r="G72" s="447"/>
      <c r="H72" s="447"/>
      <c r="I72" s="447"/>
      <c r="J72" s="447"/>
      <c r="K72" s="447"/>
      <c r="L72" s="216"/>
      <c r="M72" s="216"/>
      <c r="N72" s="216"/>
      <c r="O72" s="216"/>
      <c r="P72" s="216"/>
      <c r="Q72" s="216"/>
      <c r="R72" s="216"/>
      <c r="S72" s="216"/>
    </row>
    <row r="73" spans="2:19" ht="14.4">
      <c r="B73" s="445"/>
      <c r="C73" s="447"/>
      <c r="D73" s="447"/>
      <c r="E73" s="447"/>
      <c r="F73" s="447"/>
      <c r="G73" s="447"/>
      <c r="H73" s="447"/>
      <c r="I73" s="447"/>
      <c r="J73" s="447"/>
      <c r="K73" s="447"/>
      <c r="L73" s="216"/>
      <c r="M73" s="216"/>
      <c r="N73" s="216"/>
      <c r="O73" s="216"/>
      <c r="P73" s="216"/>
      <c r="Q73" s="216"/>
      <c r="R73" s="216"/>
      <c r="S73" s="216"/>
    </row>
    <row r="74" spans="2:19" ht="14.4">
      <c r="B74" s="445"/>
      <c r="C74" s="447"/>
      <c r="D74" s="447"/>
      <c r="E74" s="447"/>
      <c r="F74" s="447"/>
      <c r="G74" s="447"/>
      <c r="H74" s="447"/>
      <c r="I74" s="447"/>
      <c r="J74" s="447"/>
      <c r="K74" s="447"/>
      <c r="L74" s="216"/>
      <c r="M74" s="216"/>
      <c r="N74" s="216"/>
      <c r="O74" s="216"/>
      <c r="P74" s="216"/>
      <c r="Q74" s="216"/>
      <c r="R74" s="216"/>
      <c r="S74" s="216"/>
    </row>
    <row r="75" spans="2:19" ht="14.4">
      <c r="B75" s="445"/>
      <c r="C75" s="447"/>
      <c r="D75" s="447"/>
      <c r="E75" s="447"/>
      <c r="F75" s="447"/>
      <c r="G75" s="447"/>
      <c r="H75" s="447"/>
      <c r="I75" s="447"/>
      <c r="J75" s="447"/>
      <c r="K75" s="447"/>
      <c r="L75" s="216"/>
      <c r="M75" s="216"/>
      <c r="N75" s="216"/>
      <c r="O75" s="216"/>
      <c r="P75" s="216"/>
      <c r="Q75" s="216"/>
      <c r="R75" s="216"/>
      <c r="S75" s="216"/>
    </row>
    <row r="76" spans="2:19" ht="14.4">
      <c r="B76" s="445"/>
      <c r="C76" s="447"/>
      <c r="D76" s="447"/>
      <c r="E76" s="447"/>
      <c r="F76" s="447"/>
      <c r="G76" s="447"/>
      <c r="H76" s="447"/>
      <c r="I76" s="447"/>
      <c r="J76" s="447"/>
      <c r="K76" s="447"/>
      <c r="L76" s="216"/>
      <c r="M76" s="216"/>
      <c r="N76" s="216"/>
      <c r="O76" s="216"/>
      <c r="P76" s="216"/>
      <c r="Q76" s="216"/>
      <c r="R76" s="216"/>
      <c r="S76" s="216"/>
    </row>
    <row r="77" spans="2:19" ht="14.4">
      <c r="B77" s="445"/>
      <c r="C77" s="447"/>
      <c r="D77" s="447"/>
      <c r="E77" s="447"/>
      <c r="F77" s="447"/>
      <c r="G77" s="447"/>
      <c r="H77" s="447"/>
      <c r="I77" s="447"/>
      <c r="J77" s="447"/>
      <c r="K77" s="447"/>
      <c r="L77" s="216"/>
      <c r="M77" s="216"/>
      <c r="N77" s="216"/>
      <c r="O77" s="216"/>
      <c r="P77" s="216"/>
      <c r="Q77" s="216"/>
      <c r="R77" s="216"/>
      <c r="S77" s="216"/>
    </row>
    <row r="78" spans="2:19" ht="14.4">
      <c r="B78" s="445"/>
      <c r="C78" s="447"/>
      <c r="D78" s="447"/>
      <c r="E78" s="447"/>
      <c r="F78" s="447"/>
      <c r="G78" s="447"/>
      <c r="H78" s="447"/>
      <c r="I78" s="447"/>
      <c r="J78" s="447"/>
      <c r="K78" s="447"/>
      <c r="L78" s="216"/>
      <c r="M78" s="216"/>
      <c r="N78" s="216"/>
      <c r="O78" s="216"/>
      <c r="P78" s="216"/>
      <c r="Q78" s="216"/>
      <c r="R78" s="216"/>
      <c r="S78" s="216"/>
    </row>
    <row r="79" spans="2:19" ht="14.4">
      <c r="B79" s="445"/>
      <c r="C79" s="447"/>
      <c r="D79" s="447"/>
      <c r="E79" s="447"/>
      <c r="F79" s="447"/>
      <c r="G79" s="447"/>
      <c r="H79" s="447"/>
      <c r="I79" s="447"/>
      <c r="J79" s="447"/>
      <c r="K79" s="447"/>
      <c r="L79" s="216"/>
      <c r="M79" s="216"/>
      <c r="N79" s="216"/>
      <c r="O79" s="216"/>
      <c r="P79" s="216"/>
      <c r="Q79" s="216"/>
      <c r="R79" s="216"/>
      <c r="S79" s="216"/>
    </row>
    <row r="80" spans="2:19" ht="14.4">
      <c r="B80" s="445"/>
      <c r="C80" s="447"/>
      <c r="D80" s="447"/>
      <c r="E80" s="447"/>
      <c r="F80" s="447"/>
      <c r="G80" s="447"/>
      <c r="H80" s="447"/>
      <c r="I80" s="447"/>
      <c r="J80" s="447"/>
      <c r="K80" s="447"/>
      <c r="L80" s="216"/>
      <c r="M80" s="216"/>
      <c r="N80" s="216"/>
      <c r="O80" s="216"/>
      <c r="P80" s="216"/>
      <c r="Q80" s="216"/>
      <c r="R80" s="216"/>
      <c r="S80" s="216"/>
    </row>
    <row r="81" spans="1:19" ht="14.4">
      <c r="B81" s="445"/>
      <c r="C81" s="447"/>
      <c r="D81" s="447"/>
      <c r="E81" s="447"/>
      <c r="F81" s="447"/>
      <c r="G81" s="447"/>
      <c r="H81" s="447"/>
      <c r="I81" s="447"/>
      <c r="J81" s="447"/>
      <c r="K81" s="447"/>
      <c r="L81" s="216"/>
      <c r="M81" s="216"/>
      <c r="N81" s="216"/>
      <c r="O81" s="216"/>
      <c r="P81" s="216"/>
      <c r="Q81" s="216"/>
      <c r="R81" s="216"/>
      <c r="S81" s="216"/>
    </row>
    <row r="82" spans="1:19" ht="14.4">
      <c r="B82" s="445"/>
      <c r="C82" s="447"/>
      <c r="D82" s="447"/>
      <c r="E82" s="447"/>
      <c r="F82" s="447"/>
      <c r="G82" s="447"/>
      <c r="H82" s="447"/>
      <c r="I82" s="447"/>
      <c r="J82" s="447"/>
      <c r="K82" s="447"/>
      <c r="L82" s="216"/>
      <c r="M82" s="216"/>
      <c r="N82" s="216"/>
      <c r="O82" s="216"/>
      <c r="P82" s="216"/>
      <c r="Q82" s="216"/>
      <c r="R82" s="216"/>
      <c r="S82" s="216"/>
    </row>
    <row r="83" spans="1:19" ht="14.4">
      <c r="B83" s="445"/>
      <c r="C83" s="447"/>
      <c r="D83" s="447"/>
      <c r="E83" s="447"/>
      <c r="F83" s="447"/>
      <c r="G83" s="447"/>
      <c r="H83" s="447"/>
      <c r="I83" s="447"/>
      <c r="J83" s="447"/>
      <c r="K83" s="447"/>
      <c r="L83" s="216"/>
      <c r="M83" s="216"/>
      <c r="N83" s="216"/>
      <c r="O83" s="216"/>
      <c r="P83" s="216"/>
      <c r="Q83" s="216"/>
      <c r="R83" s="216"/>
      <c r="S83" s="216"/>
    </row>
    <row r="84" spans="1:19" ht="14.4">
      <c r="B84" s="445"/>
      <c r="C84" s="447"/>
      <c r="D84" s="447"/>
      <c r="E84" s="447"/>
      <c r="F84" s="447"/>
      <c r="G84" s="447"/>
      <c r="H84" s="447"/>
      <c r="I84" s="447"/>
      <c r="J84" s="447"/>
      <c r="K84" s="447"/>
      <c r="L84" s="216"/>
      <c r="M84" s="216"/>
      <c r="N84" s="216"/>
      <c r="O84" s="216"/>
      <c r="P84" s="216"/>
      <c r="Q84" s="216"/>
      <c r="R84" s="216"/>
      <c r="S84" s="216"/>
    </row>
    <row r="85" spans="1:19" ht="14.4">
      <c r="B85" s="445"/>
      <c r="C85" s="447"/>
      <c r="D85" s="447"/>
      <c r="E85" s="447"/>
      <c r="F85" s="447"/>
      <c r="G85" s="447"/>
      <c r="H85" s="447"/>
      <c r="I85" s="447"/>
      <c r="J85" s="447"/>
      <c r="K85" s="447"/>
      <c r="L85" s="216"/>
      <c r="M85" s="216"/>
      <c r="N85" s="216"/>
      <c r="O85" s="216"/>
      <c r="P85" s="216"/>
      <c r="Q85" s="216"/>
      <c r="R85" s="216"/>
      <c r="S85" s="216"/>
    </row>
    <row r="86" spans="1:19">
      <c r="B86" s="268"/>
      <c r="C86" s="269"/>
      <c r="D86" s="269"/>
      <c r="E86" s="269"/>
      <c r="F86" s="269"/>
      <c r="G86" s="269"/>
      <c r="H86" s="269"/>
      <c r="I86" s="269"/>
      <c r="J86" s="269"/>
      <c r="K86" s="269"/>
    </row>
    <row r="87" spans="1:19">
      <c r="B87" s="268"/>
      <c r="C87" s="269"/>
      <c r="D87" s="269"/>
      <c r="E87" s="269"/>
      <c r="F87" s="269"/>
      <c r="G87" s="269"/>
      <c r="H87" s="269"/>
      <c r="I87" s="269"/>
      <c r="J87" s="269"/>
      <c r="K87" s="269"/>
    </row>
    <row r="88" spans="1:19">
      <c r="B88" s="268"/>
      <c r="C88" s="269"/>
      <c r="D88" s="269"/>
      <c r="E88" s="269"/>
      <c r="F88" s="269"/>
      <c r="G88" s="269"/>
      <c r="H88" s="269"/>
      <c r="I88" s="269"/>
      <c r="J88" s="269"/>
      <c r="K88" s="269"/>
    </row>
    <row r="89" spans="1:19">
      <c r="B89" s="268"/>
      <c r="C89" s="269"/>
      <c r="D89" s="269"/>
      <c r="E89" s="269"/>
      <c r="F89" s="269"/>
      <c r="G89" s="269"/>
      <c r="H89" s="269"/>
      <c r="I89" s="269"/>
      <c r="J89" s="269"/>
      <c r="K89" s="269"/>
    </row>
    <row r="90" spans="1:19">
      <c r="B90" s="268"/>
      <c r="C90" s="269"/>
      <c r="D90" s="269"/>
      <c r="E90" s="269"/>
      <c r="F90" s="269"/>
      <c r="G90" s="269"/>
      <c r="H90" s="269"/>
      <c r="I90" s="269"/>
      <c r="J90" s="269"/>
      <c r="K90" s="269"/>
    </row>
    <row r="92" spans="1:19" ht="14.4">
      <c r="A92" s="932"/>
      <c r="B92" s="458" t="s">
        <v>332</v>
      </c>
      <c r="C92" s="433"/>
      <c r="D92" s="433"/>
      <c r="E92" s="433"/>
      <c r="F92" s="433"/>
      <c r="G92" s="433"/>
      <c r="H92" s="433"/>
      <c r="I92" s="433"/>
      <c r="J92" s="433"/>
      <c r="K92" s="433"/>
      <c r="L92" s="433"/>
      <c r="M92" s="433"/>
      <c r="N92" s="433"/>
      <c r="O92" s="433"/>
      <c r="P92" s="433"/>
      <c r="Q92" s="433"/>
      <c r="R92" s="433"/>
      <c r="S92" s="433"/>
    </row>
    <row r="93" spans="1:19" ht="14.4">
      <c r="A93" s="932"/>
      <c r="B93" s="458"/>
      <c r="C93" s="433"/>
      <c r="D93" s="433"/>
      <c r="E93" s="433"/>
      <c r="F93" s="433"/>
      <c r="G93" s="433"/>
      <c r="H93" s="433"/>
      <c r="I93" s="433"/>
      <c r="J93" s="433"/>
      <c r="K93" s="433"/>
      <c r="L93" s="433"/>
      <c r="M93" s="433"/>
      <c r="N93" s="433"/>
      <c r="O93" s="433"/>
      <c r="P93" s="433"/>
      <c r="Q93" s="433"/>
      <c r="R93" s="433"/>
      <c r="S93" s="433"/>
    </row>
    <row r="94" spans="1:19" ht="14.4">
      <c r="A94" s="932"/>
      <c r="B94" s="433"/>
      <c r="C94" s="433"/>
      <c r="D94" s="433"/>
      <c r="E94" s="433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433"/>
      <c r="R94" s="433"/>
      <c r="S94" s="433"/>
    </row>
    <row r="95" spans="1:19" ht="14.4">
      <c r="A95" s="932"/>
      <c r="B95" s="433"/>
      <c r="C95" s="433"/>
      <c r="D95" s="433"/>
      <c r="E95" s="433"/>
      <c r="F95" s="433"/>
      <c r="G95" s="433"/>
      <c r="H95" s="433"/>
      <c r="I95" s="433"/>
      <c r="J95" s="433"/>
      <c r="K95" s="433"/>
      <c r="L95" s="433"/>
      <c r="M95" s="433"/>
      <c r="N95" s="433"/>
      <c r="O95" s="433"/>
      <c r="P95" s="433"/>
      <c r="Q95" s="433"/>
      <c r="R95" s="433"/>
      <c r="S95" s="433"/>
    </row>
    <row r="96" spans="1:19" ht="29.4">
      <c r="A96" s="932"/>
      <c r="B96" s="265"/>
      <c r="C96" s="265"/>
      <c r="D96" s="265"/>
      <c r="E96" s="265"/>
      <c r="F96" s="265"/>
      <c r="G96" s="265"/>
      <c r="H96" s="265"/>
      <c r="I96" s="265"/>
      <c r="J96" s="265"/>
      <c r="K96" s="265"/>
      <c r="L96" s="265"/>
      <c r="M96" s="265"/>
      <c r="N96" s="265"/>
      <c r="O96" s="265"/>
      <c r="P96" s="265"/>
      <c r="Q96" s="265"/>
      <c r="R96" s="265"/>
      <c r="S96" s="265"/>
    </row>
    <row r="97" spans="1:19" ht="18" customHeight="1">
      <c r="A97" s="932"/>
      <c r="B97" s="434" t="s">
        <v>323</v>
      </c>
      <c r="C97" s="435" t="s">
        <v>291</v>
      </c>
      <c r="D97" s="435" t="s">
        <v>324</v>
      </c>
      <c r="E97" s="435"/>
      <c r="F97" s="435"/>
      <c r="G97" s="435"/>
      <c r="H97" s="435"/>
      <c r="I97" s="435"/>
      <c r="J97" s="435"/>
      <c r="K97" s="412"/>
      <c r="L97" s="211"/>
      <c r="M97" s="211"/>
      <c r="N97" s="211"/>
      <c r="O97" s="211"/>
      <c r="P97" s="211"/>
      <c r="Q97" s="211"/>
      <c r="R97" s="211"/>
      <c r="S97" s="211"/>
    </row>
    <row r="98" spans="1:19" ht="18" customHeight="1">
      <c r="A98" s="932"/>
      <c r="B98" s="434"/>
      <c r="C98" s="435"/>
      <c r="D98" s="435"/>
      <c r="E98" s="435"/>
      <c r="F98" s="435"/>
      <c r="G98" s="435"/>
      <c r="H98" s="435"/>
      <c r="I98" s="435"/>
      <c r="J98" s="435"/>
      <c r="K98" s="412"/>
      <c r="L98" s="211"/>
      <c r="M98" s="211"/>
      <c r="N98" s="211"/>
      <c r="O98" s="211"/>
      <c r="P98" s="211"/>
      <c r="Q98" s="211"/>
      <c r="R98" s="211"/>
      <c r="S98" s="211"/>
    </row>
    <row r="99" spans="1:19" ht="18" customHeight="1">
      <c r="A99" s="932"/>
      <c r="B99" s="434"/>
      <c r="C99" s="435"/>
      <c r="D99" s="435"/>
      <c r="E99" s="435"/>
      <c r="F99" s="435"/>
      <c r="G99" s="435"/>
      <c r="H99" s="435"/>
      <c r="I99" s="435"/>
      <c r="J99" s="435"/>
      <c r="K99" s="412"/>
      <c r="L99" s="211"/>
      <c r="M99" s="211"/>
      <c r="N99" s="211"/>
      <c r="O99" s="211"/>
      <c r="P99" s="211"/>
      <c r="Q99" s="211"/>
      <c r="R99" s="211"/>
      <c r="S99" s="211"/>
    </row>
    <row r="100" spans="1:19" ht="18" customHeight="1">
      <c r="A100" s="932"/>
      <c r="B100" s="434"/>
      <c r="C100" s="435"/>
      <c r="D100" s="435"/>
      <c r="E100" s="435"/>
      <c r="F100" s="435"/>
      <c r="G100" s="435"/>
      <c r="H100" s="435"/>
      <c r="I100" s="435"/>
      <c r="J100" s="435"/>
      <c r="K100" s="412"/>
      <c r="L100" s="211"/>
      <c r="M100" s="211"/>
      <c r="N100" s="211"/>
      <c r="O100" s="211"/>
      <c r="P100" s="211"/>
      <c r="Q100" s="211"/>
      <c r="R100" s="211"/>
      <c r="S100" s="211"/>
    </row>
    <row r="101" spans="1:19" ht="18" customHeight="1">
      <c r="A101" s="932"/>
      <c r="B101" s="434"/>
      <c r="C101" s="435"/>
      <c r="D101" s="435"/>
      <c r="E101" s="435"/>
      <c r="F101" s="435"/>
      <c r="G101" s="435"/>
      <c r="H101" s="435"/>
      <c r="I101" s="435"/>
      <c r="J101" s="435"/>
      <c r="K101" s="412"/>
      <c r="L101" s="211"/>
      <c r="M101" s="211"/>
      <c r="N101" s="211"/>
      <c r="O101" s="211"/>
      <c r="P101" s="211"/>
      <c r="Q101" s="211"/>
      <c r="R101" s="211"/>
      <c r="S101" s="211"/>
    </row>
    <row r="102" spans="1:19" ht="18" customHeight="1">
      <c r="A102" s="932"/>
      <c r="B102" s="434"/>
      <c r="C102" s="435"/>
      <c r="D102" s="435"/>
      <c r="E102" s="435"/>
      <c r="F102" s="435"/>
      <c r="G102" s="435"/>
      <c r="H102" s="435"/>
      <c r="I102" s="435"/>
      <c r="J102" s="435"/>
      <c r="K102" s="412"/>
      <c r="L102" s="211"/>
      <c r="M102" s="211"/>
      <c r="N102" s="211"/>
      <c r="O102" s="211"/>
      <c r="P102" s="211"/>
      <c r="Q102" s="211"/>
      <c r="R102" s="211"/>
      <c r="S102" s="211"/>
    </row>
    <row r="103" spans="1:19" ht="18" customHeight="1">
      <c r="A103" s="932"/>
      <c r="B103" s="434"/>
      <c r="C103" s="435"/>
      <c r="D103" s="435"/>
      <c r="E103" s="435"/>
      <c r="F103" s="435"/>
      <c r="G103" s="435"/>
      <c r="H103" s="435"/>
      <c r="I103" s="435"/>
      <c r="J103" s="435"/>
      <c r="K103" s="412"/>
      <c r="L103" s="211"/>
      <c r="M103" s="211"/>
      <c r="N103" s="211"/>
      <c r="O103" s="211"/>
      <c r="P103" s="211"/>
      <c r="Q103" s="211"/>
      <c r="R103" s="211"/>
      <c r="S103" s="211"/>
    </row>
    <row r="104" spans="1:19" ht="18" customHeight="1">
      <c r="A104" s="932"/>
      <c r="B104" s="434"/>
      <c r="C104" s="421"/>
      <c r="D104" s="421"/>
      <c r="E104" s="421"/>
      <c r="F104" s="421"/>
      <c r="G104" s="421"/>
      <c r="H104" s="421"/>
      <c r="I104" s="421"/>
      <c r="J104" s="421"/>
      <c r="K104" s="265"/>
      <c r="L104" s="265"/>
      <c r="M104" s="265"/>
      <c r="N104" s="265"/>
      <c r="O104" s="265"/>
      <c r="P104" s="265"/>
      <c r="Q104" s="265"/>
      <c r="R104" s="265"/>
      <c r="S104" s="265"/>
    </row>
    <row r="105" spans="1:19" ht="18" customHeight="1">
      <c r="A105" s="932"/>
      <c r="B105" s="434"/>
      <c r="C105" s="442" t="s">
        <v>293</v>
      </c>
      <c r="D105" s="463" t="s">
        <v>325</v>
      </c>
      <c r="E105" s="463"/>
      <c r="F105" s="463"/>
      <c r="G105" s="463"/>
      <c r="H105" s="463"/>
      <c r="I105" s="463"/>
      <c r="J105" s="463"/>
      <c r="K105" s="417"/>
      <c r="L105" s="417"/>
      <c r="M105" s="417"/>
      <c r="N105" s="417"/>
      <c r="O105" s="417"/>
      <c r="P105" s="417"/>
      <c r="Q105" s="417"/>
      <c r="R105" s="417"/>
      <c r="S105" s="417"/>
    </row>
    <row r="106" spans="1:19" ht="18" customHeight="1">
      <c r="A106" s="932"/>
      <c r="B106" s="434"/>
      <c r="C106" s="442"/>
      <c r="D106" s="463"/>
      <c r="E106" s="463"/>
      <c r="F106" s="463"/>
      <c r="G106" s="463"/>
      <c r="H106" s="463"/>
      <c r="I106" s="463"/>
      <c r="J106" s="463"/>
      <c r="K106" s="417"/>
      <c r="L106" s="417"/>
      <c r="M106" s="417"/>
      <c r="N106" s="417"/>
      <c r="O106" s="417"/>
      <c r="P106" s="417"/>
      <c r="Q106" s="417"/>
      <c r="R106" s="417"/>
      <c r="S106" s="417"/>
    </row>
    <row r="107" spans="1:19" ht="18" customHeight="1">
      <c r="A107" s="932"/>
      <c r="B107" s="434"/>
      <c r="C107" s="442"/>
      <c r="D107" s="463"/>
      <c r="E107" s="463"/>
      <c r="F107" s="463"/>
      <c r="G107" s="463"/>
      <c r="H107" s="463"/>
      <c r="I107" s="463"/>
      <c r="J107" s="463"/>
      <c r="K107" s="417"/>
      <c r="L107" s="417"/>
      <c r="M107" s="417"/>
      <c r="N107" s="417"/>
      <c r="O107" s="417"/>
      <c r="P107" s="417"/>
      <c r="Q107" s="417"/>
      <c r="R107" s="417"/>
      <c r="S107" s="417"/>
    </row>
    <row r="108" spans="1:19" ht="18" customHeight="1">
      <c r="B108" s="434"/>
      <c r="C108" s="442"/>
      <c r="D108" s="463"/>
      <c r="E108" s="463"/>
      <c r="F108" s="463"/>
      <c r="G108" s="463"/>
      <c r="H108" s="463"/>
      <c r="I108" s="463"/>
      <c r="J108" s="463"/>
      <c r="K108" s="417"/>
      <c r="L108" s="417"/>
      <c r="M108" s="417"/>
      <c r="N108" s="417"/>
      <c r="O108" s="417"/>
      <c r="P108" s="417"/>
      <c r="Q108" s="417"/>
      <c r="R108" s="417"/>
      <c r="S108" s="417"/>
    </row>
    <row r="109" spans="1:19" ht="18" customHeight="1">
      <c r="B109" s="434"/>
      <c r="C109" s="442"/>
      <c r="D109" s="463"/>
      <c r="E109" s="463"/>
      <c r="F109" s="463"/>
      <c r="G109" s="463"/>
      <c r="H109" s="463"/>
      <c r="I109" s="463"/>
      <c r="J109" s="463"/>
      <c r="K109" s="417"/>
      <c r="L109" s="417"/>
      <c r="M109" s="417"/>
      <c r="N109" s="417"/>
      <c r="O109" s="417"/>
      <c r="P109" s="417"/>
      <c r="Q109" s="417"/>
      <c r="R109" s="417"/>
      <c r="S109" s="417"/>
    </row>
    <row r="110" spans="1:19" ht="18" customHeight="1">
      <c r="B110" s="434"/>
      <c r="C110" s="442"/>
      <c r="D110" s="463"/>
      <c r="E110" s="463"/>
      <c r="F110" s="463"/>
      <c r="G110" s="463"/>
      <c r="H110" s="463"/>
      <c r="I110" s="463"/>
      <c r="J110" s="463"/>
      <c r="K110" s="417"/>
      <c r="L110" s="417"/>
      <c r="M110" s="417"/>
      <c r="N110" s="417"/>
      <c r="O110" s="417"/>
      <c r="P110" s="417"/>
      <c r="Q110" s="417"/>
      <c r="R110" s="417"/>
      <c r="S110" s="417"/>
    </row>
    <row r="111" spans="1:19" ht="18" customHeight="1">
      <c r="B111" s="434"/>
      <c r="C111" s="442"/>
      <c r="D111" s="463"/>
      <c r="E111" s="463"/>
      <c r="F111" s="463"/>
      <c r="G111" s="463"/>
      <c r="H111" s="463"/>
      <c r="I111" s="463"/>
      <c r="J111" s="463"/>
      <c r="K111" s="417"/>
      <c r="L111" s="417"/>
      <c r="M111" s="417"/>
      <c r="N111" s="417"/>
      <c r="O111" s="417"/>
      <c r="P111" s="417"/>
      <c r="Q111" s="417"/>
      <c r="R111" s="417"/>
      <c r="S111" s="417"/>
    </row>
    <row r="112" spans="1:19" ht="18" customHeight="1">
      <c r="B112" s="434"/>
      <c r="C112" s="442"/>
      <c r="D112" s="463"/>
      <c r="E112" s="463"/>
      <c r="F112" s="463"/>
      <c r="G112" s="463"/>
      <c r="H112" s="463"/>
      <c r="I112" s="463"/>
      <c r="J112" s="463"/>
      <c r="K112" s="417"/>
      <c r="L112" s="417"/>
      <c r="M112" s="417"/>
      <c r="N112" s="417"/>
      <c r="O112" s="417"/>
      <c r="P112" s="417"/>
      <c r="Q112" s="417"/>
      <c r="R112" s="417"/>
      <c r="S112" s="417"/>
    </row>
    <row r="113" spans="2:19" ht="18" customHeight="1">
      <c r="B113" s="434"/>
      <c r="C113" s="442"/>
      <c r="D113" s="463"/>
      <c r="E113" s="463"/>
      <c r="F113" s="463"/>
      <c r="G113" s="463"/>
      <c r="H113" s="463"/>
      <c r="I113" s="463"/>
      <c r="J113" s="463"/>
      <c r="K113" s="417"/>
      <c r="L113" s="417"/>
      <c r="M113" s="417"/>
      <c r="N113" s="417"/>
      <c r="O113" s="417"/>
      <c r="P113" s="417"/>
      <c r="Q113" s="417"/>
      <c r="R113" s="417"/>
      <c r="S113" s="417"/>
    </row>
    <row r="114" spans="2:19" ht="18" customHeight="1">
      <c r="B114" s="434"/>
      <c r="C114" s="422"/>
      <c r="D114" s="422"/>
      <c r="E114" s="422"/>
      <c r="F114" s="422"/>
      <c r="G114" s="422"/>
      <c r="H114" s="422"/>
      <c r="I114" s="422"/>
      <c r="J114" s="422"/>
      <c r="K114" s="413"/>
      <c r="L114" s="413"/>
      <c r="M114" s="413"/>
      <c r="N114" s="413"/>
      <c r="O114" s="413"/>
      <c r="P114" s="413"/>
      <c r="Q114" s="413"/>
      <c r="R114" s="413"/>
      <c r="S114" s="413"/>
    </row>
    <row r="115" spans="2:19" ht="18" customHeight="1">
      <c r="B115" s="434"/>
      <c r="C115" s="436" t="s">
        <v>294</v>
      </c>
      <c r="D115" s="437" t="s">
        <v>329</v>
      </c>
      <c r="E115" s="437"/>
      <c r="F115" s="437"/>
      <c r="G115" s="437"/>
      <c r="H115" s="437"/>
      <c r="I115" s="437"/>
      <c r="J115" s="437"/>
      <c r="K115" s="418"/>
      <c r="L115" s="418"/>
      <c r="M115" s="418"/>
      <c r="N115" s="418"/>
      <c r="O115" s="418"/>
      <c r="P115" s="418"/>
      <c r="Q115" s="418"/>
      <c r="R115" s="418"/>
      <c r="S115" s="418"/>
    </row>
    <row r="116" spans="2:19" ht="18" customHeight="1">
      <c r="B116" s="434"/>
      <c r="C116" s="436"/>
      <c r="D116" s="437"/>
      <c r="E116" s="437"/>
      <c r="F116" s="437"/>
      <c r="G116" s="437"/>
      <c r="H116" s="437"/>
      <c r="I116" s="437"/>
      <c r="J116" s="437"/>
      <c r="K116" s="418"/>
      <c r="L116" s="418"/>
      <c r="M116" s="418"/>
      <c r="N116" s="418"/>
      <c r="O116" s="418"/>
      <c r="P116" s="418"/>
      <c r="Q116" s="418"/>
      <c r="R116" s="418"/>
      <c r="S116" s="418"/>
    </row>
    <row r="117" spans="2:19" ht="18" customHeight="1">
      <c r="B117" s="434"/>
      <c r="C117" s="436"/>
      <c r="D117" s="437"/>
      <c r="E117" s="437"/>
      <c r="F117" s="437"/>
      <c r="G117" s="437"/>
      <c r="H117" s="437"/>
      <c r="I117" s="437"/>
      <c r="J117" s="437"/>
      <c r="K117" s="418"/>
      <c r="L117" s="418"/>
      <c r="M117" s="418"/>
      <c r="N117" s="418"/>
      <c r="O117" s="418"/>
      <c r="P117" s="418"/>
      <c r="Q117" s="418"/>
      <c r="R117" s="418"/>
      <c r="S117" s="418"/>
    </row>
    <row r="118" spans="2:19" ht="18" customHeight="1">
      <c r="B118" s="434"/>
      <c r="C118" s="436"/>
      <c r="D118" s="437"/>
      <c r="E118" s="437"/>
      <c r="F118" s="437"/>
      <c r="G118" s="437"/>
      <c r="H118" s="437"/>
      <c r="I118" s="437"/>
      <c r="J118" s="437"/>
      <c r="K118" s="418"/>
      <c r="L118" s="418"/>
      <c r="M118" s="418"/>
      <c r="N118" s="418"/>
      <c r="O118" s="418"/>
      <c r="P118" s="418"/>
      <c r="Q118" s="418"/>
      <c r="R118" s="418"/>
      <c r="S118" s="418"/>
    </row>
    <row r="119" spans="2:19" ht="18" customHeight="1">
      <c r="B119" s="434"/>
      <c r="C119" s="436"/>
      <c r="D119" s="437"/>
      <c r="E119" s="437"/>
      <c r="F119" s="437"/>
      <c r="G119" s="437"/>
      <c r="H119" s="437"/>
      <c r="I119" s="437"/>
      <c r="J119" s="437"/>
      <c r="K119" s="418"/>
      <c r="L119" s="418"/>
      <c r="M119" s="418"/>
      <c r="N119" s="418"/>
      <c r="O119" s="418"/>
      <c r="P119" s="418"/>
      <c r="Q119" s="418"/>
      <c r="R119" s="418"/>
      <c r="S119" s="418"/>
    </row>
    <row r="120" spans="2:19" ht="18" customHeight="1">
      <c r="B120" s="434"/>
      <c r="C120" s="436"/>
      <c r="D120" s="437"/>
      <c r="E120" s="437"/>
      <c r="F120" s="437"/>
      <c r="G120" s="437"/>
      <c r="H120" s="437"/>
      <c r="I120" s="437"/>
      <c r="J120" s="437"/>
      <c r="K120" s="418"/>
      <c r="L120" s="418"/>
      <c r="M120" s="418"/>
      <c r="N120" s="418"/>
      <c r="O120" s="418"/>
      <c r="P120" s="418"/>
      <c r="Q120" s="418"/>
      <c r="R120" s="418"/>
      <c r="S120" s="418"/>
    </row>
    <row r="121" spans="2:19" ht="18" customHeight="1">
      <c r="B121" s="434"/>
      <c r="C121" s="436"/>
      <c r="D121" s="437"/>
      <c r="E121" s="437"/>
      <c r="F121" s="437"/>
      <c r="G121" s="437"/>
      <c r="H121" s="437"/>
      <c r="I121" s="437"/>
      <c r="J121" s="437"/>
      <c r="K121" s="418"/>
      <c r="L121" s="418"/>
      <c r="M121" s="418"/>
      <c r="N121" s="418"/>
      <c r="O121" s="418"/>
      <c r="P121" s="418"/>
      <c r="Q121" s="418"/>
      <c r="R121" s="418"/>
      <c r="S121" s="418"/>
    </row>
    <row r="122" spans="2:19" ht="18" customHeight="1">
      <c r="B122" s="434"/>
      <c r="C122" s="436"/>
      <c r="D122" s="437"/>
      <c r="E122" s="437"/>
      <c r="F122" s="437"/>
      <c r="G122" s="437"/>
      <c r="H122" s="437"/>
      <c r="I122" s="437"/>
      <c r="J122" s="437"/>
      <c r="K122" s="418"/>
      <c r="L122" s="418"/>
      <c r="M122" s="418"/>
      <c r="N122" s="418"/>
      <c r="O122" s="418"/>
      <c r="P122" s="418"/>
      <c r="Q122" s="418"/>
      <c r="R122" s="418"/>
      <c r="S122" s="418"/>
    </row>
    <row r="123" spans="2:19" ht="18" customHeight="1">
      <c r="B123" s="434"/>
      <c r="C123" s="436"/>
      <c r="D123" s="437"/>
      <c r="E123" s="437"/>
      <c r="F123" s="437"/>
      <c r="G123" s="437"/>
      <c r="H123" s="437"/>
      <c r="I123" s="437"/>
      <c r="J123" s="437"/>
      <c r="K123" s="418"/>
      <c r="L123" s="418"/>
      <c r="M123" s="418"/>
      <c r="N123" s="418"/>
      <c r="O123" s="418"/>
      <c r="P123" s="418"/>
      <c r="Q123" s="418"/>
      <c r="R123" s="418"/>
      <c r="S123" s="418"/>
    </row>
    <row r="124" spans="2:19" ht="18" customHeight="1">
      <c r="B124" s="434"/>
      <c r="C124" s="436"/>
      <c r="D124" s="437"/>
      <c r="E124" s="437"/>
      <c r="F124" s="437"/>
      <c r="G124" s="437"/>
      <c r="H124" s="437"/>
      <c r="I124" s="437"/>
      <c r="J124" s="437"/>
      <c r="K124" s="418"/>
      <c r="L124" s="418"/>
      <c r="M124" s="418"/>
      <c r="N124" s="418"/>
      <c r="O124" s="418"/>
      <c r="P124" s="418"/>
      <c r="Q124" s="418"/>
      <c r="R124" s="418"/>
      <c r="S124" s="418"/>
    </row>
    <row r="125" spans="2:19" ht="18" customHeight="1">
      <c r="B125" s="434"/>
      <c r="C125" s="436"/>
      <c r="D125" s="437"/>
      <c r="E125" s="437"/>
      <c r="F125" s="437"/>
      <c r="G125" s="437"/>
      <c r="H125" s="437"/>
      <c r="I125" s="437"/>
      <c r="J125" s="437"/>
      <c r="K125" s="418"/>
      <c r="L125" s="418"/>
      <c r="M125" s="418"/>
      <c r="N125" s="418"/>
      <c r="O125" s="418"/>
      <c r="P125" s="418"/>
      <c r="Q125" s="418"/>
      <c r="R125" s="418"/>
      <c r="S125" s="418"/>
    </row>
    <row r="126" spans="2:19" ht="18" customHeight="1">
      <c r="B126" s="434"/>
      <c r="C126" s="436"/>
      <c r="D126" s="437"/>
      <c r="E126" s="437"/>
      <c r="F126" s="437"/>
      <c r="G126" s="437"/>
      <c r="H126" s="437"/>
      <c r="I126" s="437"/>
      <c r="J126" s="437"/>
      <c r="K126" s="418"/>
      <c r="L126" s="418"/>
      <c r="M126" s="418"/>
      <c r="N126" s="418"/>
      <c r="O126" s="418"/>
      <c r="P126" s="418"/>
      <c r="Q126" s="418"/>
      <c r="R126" s="418"/>
      <c r="S126" s="418"/>
    </row>
    <row r="127" spans="2:19" ht="18" customHeight="1">
      <c r="B127" s="434"/>
      <c r="C127" s="436"/>
      <c r="D127" s="437"/>
      <c r="E127" s="437"/>
      <c r="F127" s="437"/>
      <c r="G127" s="437"/>
      <c r="H127" s="437"/>
      <c r="I127" s="437"/>
      <c r="J127" s="437"/>
      <c r="K127" s="418"/>
      <c r="L127" s="418"/>
      <c r="M127" s="418"/>
      <c r="N127" s="418"/>
      <c r="O127" s="418"/>
      <c r="P127" s="418"/>
      <c r="Q127" s="418"/>
      <c r="R127" s="418"/>
      <c r="S127" s="418"/>
    </row>
    <row r="128" spans="2:19" ht="18" customHeight="1">
      <c r="B128" s="434"/>
      <c r="C128" s="436"/>
      <c r="D128" s="437"/>
      <c r="E128" s="437"/>
      <c r="F128" s="437"/>
      <c r="G128" s="437"/>
      <c r="H128" s="437"/>
      <c r="I128" s="437"/>
      <c r="J128" s="437"/>
      <c r="K128" s="418"/>
      <c r="L128" s="418"/>
      <c r="M128" s="418"/>
      <c r="N128" s="418"/>
      <c r="O128" s="418"/>
      <c r="P128" s="418"/>
      <c r="Q128" s="418"/>
      <c r="R128" s="418"/>
      <c r="S128" s="418"/>
    </row>
    <row r="129" spans="2:19" ht="18" customHeight="1">
      <c r="B129" s="434"/>
      <c r="C129" s="436"/>
      <c r="D129" s="437"/>
      <c r="E129" s="437"/>
      <c r="F129" s="437"/>
      <c r="G129" s="437"/>
      <c r="H129" s="437"/>
      <c r="I129" s="437"/>
      <c r="J129" s="437"/>
      <c r="K129" s="418"/>
      <c r="L129" s="418"/>
      <c r="M129" s="418"/>
      <c r="N129" s="418"/>
      <c r="O129" s="418"/>
      <c r="P129" s="418"/>
      <c r="Q129" s="418"/>
      <c r="R129" s="418"/>
      <c r="S129" s="418"/>
    </row>
    <row r="130" spans="2:19" ht="18" customHeight="1">
      <c r="B130" s="428"/>
      <c r="C130" s="424"/>
      <c r="D130" s="429"/>
      <c r="E130" s="429"/>
      <c r="F130" s="429"/>
      <c r="G130" s="429"/>
      <c r="H130" s="429"/>
      <c r="I130" s="429"/>
      <c r="J130" s="429"/>
      <c r="K130" s="413"/>
      <c r="L130" s="413"/>
      <c r="M130" s="413"/>
      <c r="N130" s="413"/>
      <c r="O130" s="413"/>
      <c r="P130" s="413"/>
      <c r="Q130" s="413"/>
      <c r="R130" s="413"/>
      <c r="S130" s="413"/>
    </row>
    <row r="131" spans="2:19" ht="18" customHeight="1">
      <c r="B131" s="265"/>
      <c r="C131" s="413"/>
      <c r="D131" s="413"/>
      <c r="E131" s="413"/>
      <c r="F131" s="413"/>
      <c r="G131" s="413"/>
      <c r="H131" s="413"/>
      <c r="I131" s="413"/>
      <c r="J131" s="413"/>
      <c r="K131" s="413"/>
      <c r="L131" s="413"/>
      <c r="M131" s="413"/>
      <c r="N131" s="413"/>
      <c r="O131" s="413"/>
      <c r="P131" s="413"/>
      <c r="Q131" s="413"/>
      <c r="R131" s="413"/>
      <c r="S131" s="413"/>
    </row>
    <row r="132" spans="2:19" ht="18.600000000000001">
      <c r="B132" s="462" t="s">
        <v>328</v>
      </c>
      <c r="C132" s="459" t="s">
        <v>291</v>
      </c>
      <c r="D132" s="423" t="s">
        <v>324</v>
      </c>
      <c r="E132" s="423"/>
      <c r="F132" s="423"/>
      <c r="G132" s="423"/>
      <c r="H132" s="423"/>
      <c r="I132" s="423"/>
      <c r="J132" s="423"/>
      <c r="K132" s="423"/>
      <c r="L132" s="414"/>
      <c r="M132" s="414"/>
      <c r="N132" s="414"/>
      <c r="O132" s="414"/>
      <c r="P132" s="414"/>
      <c r="Q132" s="414"/>
      <c r="R132" s="414"/>
      <c r="S132" s="414"/>
    </row>
    <row r="133" spans="2:19" ht="18.600000000000001">
      <c r="B133" s="462"/>
      <c r="C133" s="459"/>
      <c r="D133" s="423"/>
      <c r="E133" s="423"/>
      <c r="F133" s="423"/>
      <c r="G133" s="423"/>
      <c r="H133" s="423"/>
      <c r="I133" s="423"/>
      <c r="J133" s="423"/>
      <c r="K133" s="423"/>
      <c r="L133" s="414"/>
      <c r="M133" s="414"/>
      <c r="N133" s="414"/>
      <c r="O133" s="414"/>
      <c r="P133" s="414"/>
      <c r="Q133" s="414"/>
      <c r="R133" s="414"/>
      <c r="S133" s="414"/>
    </row>
    <row r="134" spans="2:19" ht="18.600000000000001">
      <c r="B134" s="462"/>
      <c r="C134" s="459"/>
      <c r="D134" s="423"/>
      <c r="E134" s="423"/>
      <c r="F134" s="423"/>
      <c r="G134" s="423"/>
      <c r="H134" s="423"/>
      <c r="I134" s="423"/>
      <c r="J134" s="423"/>
      <c r="K134" s="423"/>
      <c r="L134" s="414"/>
      <c r="M134" s="414"/>
      <c r="N134" s="414"/>
      <c r="O134" s="414"/>
      <c r="P134" s="414"/>
      <c r="Q134" s="414"/>
      <c r="R134" s="414"/>
      <c r="S134" s="414"/>
    </row>
    <row r="135" spans="2:19" ht="18.600000000000001">
      <c r="B135" s="462"/>
      <c r="C135" s="459"/>
      <c r="D135" s="423"/>
      <c r="E135" s="423"/>
      <c r="F135" s="423"/>
      <c r="G135" s="423"/>
      <c r="H135" s="423"/>
      <c r="I135" s="423"/>
      <c r="J135" s="423"/>
      <c r="K135" s="423"/>
      <c r="L135" s="414"/>
      <c r="M135" s="414"/>
      <c r="N135" s="414"/>
      <c r="O135" s="414"/>
      <c r="P135" s="414"/>
      <c r="Q135" s="414"/>
      <c r="R135" s="414"/>
      <c r="S135" s="414"/>
    </row>
    <row r="136" spans="2:19" ht="18.600000000000001">
      <c r="B136" s="462"/>
      <c r="C136" s="459"/>
      <c r="D136" s="423"/>
      <c r="E136" s="423"/>
      <c r="F136" s="423"/>
      <c r="G136" s="423"/>
      <c r="H136" s="423"/>
      <c r="I136" s="423"/>
      <c r="J136" s="423"/>
      <c r="K136" s="423"/>
      <c r="L136" s="414"/>
      <c r="M136" s="414"/>
      <c r="N136" s="414"/>
      <c r="O136" s="414"/>
      <c r="P136" s="414"/>
      <c r="Q136" s="414"/>
      <c r="R136" s="414"/>
      <c r="S136" s="414"/>
    </row>
    <row r="137" spans="2:19" ht="18.600000000000001">
      <c r="B137" s="462"/>
      <c r="C137" s="459"/>
      <c r="D137" s="423"/>
      <c r="E137" s="423"/>
      <c r="F137" s="423"/>
      <c r="G137" s="423"/>
      <c r="H137" s="423"/>
      <c r="I137" s="423"/>
      <c r="J137" s="423"/>
      <c r="K137" s="423"/>
      <c r="L137" s="414"/>
      <c r="M137" s="414"/>
      <c r="N137" s="414"/>
      <c r="O137" s="414"/>
      <c r="P137" s="414"/>
      <c r="Q137" s="414"/>
      <c r="R137" s="414"/>
      <c r="S137" s="414"/>
    </row>
    <row r="138" spans="2:19" ht="18.600000000000001">
      <c r="B138" s="462"/>
      <c r="C138" s="459"/>
      <c r="D138" s="423"/>
      <c r="E138" s="423"/>
      <c r="F138" s="423"/>
      <c r="G138" s="423"/>
      <c r="H138" s="423"/>
      <c r="I138" s="423"/>
      <c r="J138" s="423"/>
      <c r="K138" s="423"/>
      <c r="L138" s="414"/>
      <c r="M138" s="414"/>
      <c r="N138" s="414"/>
      <c r="O138" s="414"/>
      <c r="P138" s="414"/>
      <c r="Q138" s="414"/>
      <c r="R138" s="414"/>
      <c r="S138" s="414"/>
    </row>
    <row r="139" spans="2:19" ht="18.600000000000001">
      <c r="B139" s="462"/>
      <c r="C139" s="424"/>
      <c r="D139" s="425"/>
      <c r="E139" s="425"/>
      <c r="F139" s="425"/>
      <c r="G139" s="425"/>
      <c r="H139" s="425"/>
      <c r="I139" s="425"/>
      <c r="J139" s="425"/>
      <c r="K139" s="425"/>
      <c r="L139" s="415"/>
      <c r="M139" s="415"/>
      <c r="N139" s="415"/>
      <c r="O139" s="415"/>
      <c r="P139" s="415"/>
      <c r="Q139" s="415"/>
      <c r="R139" s="415"/>
      <c r="S139" s="415"/>
    </row>
    <row r="140" spans="2:19" ht="14.4">
      <c r="B140" s="462"/>
      <c r="C140" s="436" t="s">
        <v>293</v>
      </c>
      <c r="D140" s="437" t="s">
        <v>326</v>
      </c>
      <c r="E140" s="437"/>
      <c r="F140" s="437"/>
      <c r="G140" s="437"/>
      <c r="H140" s="437"/>
      <c r="I140" s="437"/>
      <c r="J140" s="437"/>
      <c r="K140" s="437"/>
      <c r="L140" s="416"/>
      <c r="M140" s="416"/>
      <c r="N140" s="416"/>
      <c r="O140" s="416"/>
      <c r="P140" s="416"/>
      <c r="Q140" s="416"/>
      <c r="R140" s="416"/>
      <c r="S140" s="416"/>
    </row>
    <row r="141" spans="2:19" ht="14.4">
      <c r="B141" s="462"/>
      <c r="C141" s="436"/>
      <c r="D141" s="437"/>
      <c r="E141" s="437"/>
      <c r="F141" s="437"/>
      <c r="G141" s="437"/>
      <c r="H141" s="437"/>
      <c r="I141" s="437"/>
      <c r="J141" s="437"/>
      <c r="K141" s="437"/>
      <c r="L141" s="416"/>
      <c r="M141" s="416"/>
      <c r="N141" s="416"/>
      <c r="O141" s="416"/>
      <c r="P141" s="416"/>
      <c r="Q141" s="416"/>
      <c r="R141" s="416"/>
      <c r="S141" s="416"/>
    </row>
    <row r="142" spans="2:19" ht="14.4">
      <c r="B142" s="462"/>
      <c r="C142" s="436"/>
      <c r="D142" s="437"/>
      <c r="E142" s="437"/>
      <c r="F142" s="437"/>
      <c r="G142" s="437"/>
      <c r="H142" s="437"/>
      <c r="I142" s="437"/>
      <c r="J142" s="437"/>
      <c r="K142" s="437"/>
      <c r="L142" s="416"/>
      <c r="M142" s="416"/>
      <c r="N142" s="416"/>
      <c r="O142" s="416"/>
      <c r="P142" s="416"/>
      <c r="Q142" s="416"/>
      <c r="R142" s="416"/>
      <c r="S142" s="416"/>
    </row>
    <row r="143" spans="2:19" ht="14.4">
      <c r="B143" s="462"/>
      <c r="C143" s="436"/>
      <c r="D143" s="437"/>
      <c r="E143" s="437"/>
      <c r="F143" s="437"/>
      <c r="G143" s="437"/>
      <c r="H143" s="437"/>
      <c r="I143" s="437"/>
      <c r="J143" s="437"/>
      <c r="K143" s="437"/>
      <c r="L143" s="416"/>
      <c r="M143" s="416"/>
      <c r="N143" s="416"/>
      <c r="O143" s="416"/>
      <c r="P143" s="416"/>
      <c r="Q143" s="416"/>
      <c r="R143" s="416"/>
      <c r="S143" s="416"/>
    </row>
    <row r="144" spans="2:19" ht="14.4">
      <c r="B144" s="462"/>
      <c r="C144" s="436"/>
      <c r="D144" s="437"/>
      <c r="E144" s="437"/>
      <c r="F144" s="437"/>
      <c r="G144" s="437"/>
      <c r="H144" s="437"/>
      <c r="I144" s="437"/>
      <c r="J144" s="437"/>
      <c r="K144" s="437"/>
      <c r="L144" s="416"/>
      <c r="M144" s="416"/>
      <c r="N144" s="416"/>
      <c r="O144" s="416"/>
      <c r="P144" s="416"/>
      <c r="Q144" s="416"/>
      <c r="R144" s="416"/>
      <c r="S144" s="416"/>
    </row>
    <row r="145" spans="2:19" ht="14.4">
      <c r="B145" s="462"/>
      <c r="C145" s="436"/>
      <c r="D145" s="437"/>
      <c r="E145" s="437"/>
      <c r="F145" s="437"/>
      <c r="G145" s="437"/>
      <c r="H145" s="437"/>
      <c r="I145" s="437"/>
      <c r="J145" s="437"/>
      <c r="K145" s="437"/>
      <c r="L145" s="416"/>
      <c r="M145" s="416"/>
      <c r="N145" s="416"/>
      <c r="O145" s="416"/>
      <c r="P145" s="416"/>
      <c r="Q145" s="416"/>
      <c r="R145" s="416"/>
      <c r="S145" s="416"/>
    </row>
    <row r="146" spans="2:19" ht="14.4">
      <c r="B146" s="462"/>
      <c r="C146" s="436"/>
      <c r="D146" s="437"/>
      <c r="E146" s="437"/>
      <c r="F146" s="437"/>
      <c r="G146" s="437"/>
      <c r="H146" s="437"/>
      <c r="I146" s="437"/>
      <c r="J146" s="437"/>
      <c r="K146" s="437"/>
      <c r="L146" s="416"/>
      <c r="M146" s="416"/>
      <c r="N146" s="416"/>
      <c r="O146" s="416"/>
      <c r="P146" s="416"/>
      <c r="Q146" s="416"/>
      <c r="R146" s="416"/>
      <c r="S146" s="416"/>
    </row>
    <row r="147" spans="2:19" ht="14.4">
      <c r="B147" s="462"/>
      <c r="C147" s="436"/>
      <c r="D147" s="437"/>
      <c r="E147" s="437"/>
      <c r="F147" s="437"/>
      <c r="G147" s="437"/>
      <c r="H147" s="437"/>
      <c r="I147" s="437"/>
      <c r="J147" s="437"/>
      <c r="K147" s="437"/>
      <c r="L147" s="416"/>
      <c r="M147" s="416"/>
      <c r="N147" s="416"/>
      <c r="O147" s="416"/>
      <c r="P147" s="416"/>
      <c r="Q147" s="416"/>
      <c r="R147" s="416"/>
      <c r="S147" s="416"/>
    </row>
    <row r="148" spans="2:19" ht="14.4">
      <c r="B148" s="462"/>
      <c r="C148" s="436"/>
      <c r="D148" s="437"/>
      <c r="E148" s="437"/>
      <c r="F148" s="437"/>
      <c r="G148" s="437"/>
      <c r="H148" s="437"/>
      <c r="I148" s="437"/>
      <c r="J148" s="437"/>
      <c r="K148" s="437"/>
      <c r="L148" s="416"/>
      <c r="M148" s="416"/>
      <c r="N148" s="416"/>
      <c r="O148" s="416"/>
      <c r="P148" s="416"/>
      <c r="Q148" s="416"/>
      <c r="R148" s="416"/>
      <c r="S148" s="416"/>
    </row>
    <row r="149" spans="2:19" ht="14.4">
      <c r="B149" s="462"/>
      <c r="C149" s="436"/>
      <c r="D149" s="437"/>
      <c r="E149" s="437"/>
      <c r="F149" s="437"/>
      <c r="G149" s="437"/>
      <c r="H149" s="437"/>
      <c r="I149" s="437"/>
      <c r="J149" s="437"/>
      <c r="K149" s="437"/>
      <c r="L149" s="416"/>
      <c r="M149" s="416"/>
      <c r="N149" s="416"/>
      <c r="O149" s="416"/>
      <c r="P149" s="416"/>
      <c r="Q149" s="416"/>
      <c r="R149" s="416"/>
      <c r="S149" s="416"/>
    </row>
    <row r="150" spans="2:19" ht="14.4">
      <c r="B150" s="462"/>
      <c r="C150" s="436"/>
      <c r="D150" s="437"/>
      <c r="E150" s="437"/>
      <c r="F150" s="437"/>
      <c r="G150" s="437"/>
      <c r="H150" s="437"/>
      <c r="I150" s="437"/>
      <c r="J150" s="437"/>
      <c r="K150" s="437"/>
      <c r="L150" s="416"/>
      <c r="M150" s="416"/>
      <c r="N150" s="416"/>
      <c r="O150" s="416"/>
      <c r="P150" s="416"/>
      <c r="Q150" s="416"/>
      <c r="R150" s="416"/>
      <c r="S150" s="416"/>
    </row>
    <row r="151" spans="2:19" ht="14.4">
      <c r="B151" s="462"/>
      <c r="C151" s="436"/>
      <c r="D151" s="437"/>
      <c r="E151" s="437"/>
      <c r="F151" s="437"/>
      <c r="G151" s="437"/>
      <c r="H151" s="437"/>
      <c r="I151" s="437"/>
      <c r="J151" s="437"/>
      <c r="K151" s="437"/>
      <c r="L151" s="416"/>
      <c r="M151" s="416"/>
      <c r="N151" s="416"/>
      <c r="O151" s="416"/>
      <c r="P151" s="416"/>
      <c r="Q151" s="416"/>
      <c r="R151" s="416"/>
      <c r="S151" s="416"/>
    </row>
    <row r="152" spans="2:19" ht="14.4">
      <c r="B152" s="462"/>
      <c r="C152" s="436"/>
      <c r="D152" s="437"/>
      <c r="E152" s="437"/>
      <c r="F152" s="437"/>
      <c r="G152" s="437"/>
      <c r="H152" s="437"/>
      <c r="I152" s="437"/>
      <c r="J152" s="437"/>
      <c r="K152" s="437"/>
      <c r="L152" s="416"/>
      <c r="M152" s="416"/>
      <c r="N152" s="416"/>
      <c r="O152" s="416"/>
      <c r="P152" s="416"/>
      <c r="Q152" s="416"/>
      <c r="R152" s="416"/>
      <c r="S152" s="416"/>
    </row>
    <row r="153" spans="2:19" ht="14.4">
      <c r="B153" s="462"/>
      <c r="C153" s="436"/>
      <c r="D153" s="437"/>
      <c r="E153" s="437"/>
      <c r="F153" s="437"/>
      <c r="G153" s="437"/>
      <c r="H153" s="437"/>
      <c r="I153" s="437"/>
      <c r="J153" s="437"/>
      <c r="K153" s="437"/>
      <c r="L153" s="416"/>
      <c r="M153" s="416"/>
      <c r="N153" s="416"/>
      <c r="O153" s="416"/>
      <c r="P153" s="416"/>
      <c r="Q153" s="416"/>
      <c r="R153" s="416"/>
      <c r="S153" s="416"/>
    </row>
    <row r="154" spans="2:19" ht="18.600000000000001">
      <c r="B154" s="462"/>
      <c r="C154" s="426"/>
      <c r="D154" s="427"/>
      <c r="E154" s="427"/>
      <c r="F154" s="427"/>
      <c r="G154" s="427"/>
      <c r="H154" s="427"/>
      <c r="I154" s="427"/>
      <c r="J154" s="427"/>
      <c r="K154" s="427"/>
    </row>
    <row r="155" spans="2:19" ht="14.4">
      <c r="B155" s="462"/>
      <c r="C155" s="460" t="s">
        <v>294</v>
      </c>
      <c r="D155" s="461" t="s">
        <v>327</v>
      </c>
      <c r="E155" s="461"/>
      <c r="F155" s="461"/>
      <c r="G155" s="461"/>
      <c r="H155" s="461"/>
      <c r="I155" s="461"/>
      <c r="J155" s="461"/>
      <c r="K155" s="461"/>
      <c r="L155" s="213"/>
      <c r="M155" s="213"/>
      <c r="N155" s="213"/>
      <c r="O155" s="213"/>
      <c r="P155" s="213"/>
      <c r="Q155" s="213"/>
      <c r="R155" s="213"/>
      <c r="S155" s="213"/>
    </row>
    <row r="156" spans="2:19" ht="14.4">
      <c r="B156" s="462"/>
      <c r="C156" s="460"/>
      <c r="D156" s="461"/>
      <c r="E156" s="461"/>
      <c r="F156" s="461"/>
      <c r="G156" s="461"/>
      <c r="H156" s="461"/>
      <c r="I156" s="461"/>
      <c r="J156" s="461"/>
      <c r="K156" s="461"/>
      <c r="L156" s="213"/>
      <c r="M156" s="213"/>
      <c r="N156" s="213"/>
      <c r="O156" s="213"/>
      <c r="P156" s="213"/>
      <c r="Q156" s="213"/>
      <c r="R156" s="213"/>
      <c r="S156" s="213"/>
    </row>
    <row r="157" spans="2:19" ht="14.4">
      <c r="B157" s="462"/>
      <c r="C157" s="460"/>
      <c r="D157" s="461"/>
      <c r="E157" s="461"/>
      <c r="F157" s="461"/>
      <c r="G157" s="461"/>
      <c r="H157" s="461"/>
      <c r="I157" s="461"/>
      <c r="J157" s="461"/>
      <c r="K157" s="461"/>
      <c r="L157" s="213"/>
      <c r="M157" s="213"/>
      <c r="N157" s="213"/>
      <c r="O157" s="213"/>
      <c r="P157" s="213"/>
      <c r="Q157" s="213"/>
      <c r="R157" s="213"/>
      <c r="S157" s="213"/>
    </row>
    <row r="158" spans="2:19" ht="14.4">
      <c r="B158" s="462"/>
      <c r="C158" s="460"/>
      <c r="D158" s="461"/>
      <c r="E158" s="461"/>
      <c r="F158" s="461"/>
      <c r="G158" s="461"/>
      <c r="H158" s="461"/>
      <c r="I158" s="461"/>
      <c r="J158" s="461"/>
      <c r="K158" s="461"/>
      <c r="L158" s="213"/>
      <c r="M158" s="213"/>
      <c r="N158" s="213"/>
      <c r="O158" s="213"/>
      <c r="P158" s="213"/>
      <c r="Q158" s="213"/>
      <c r="R158" s="213"/>
      <c r="S158" s="213"/>
    </row>
    <row r="159" spans="2:19" ht="14.4">
      <c r="B159" s="462"/>
      <c r="C159" s="460"/>
      <c r="D159" s="461"/>
      <c r="E159" s="461"/>
      <c r="F159" s="461"/>
      <c r="G159" s="461"/>
      <c r="H159" s="461"/>
      <c r="I159" s="461"/>
      <c r="J159" s="461"/>
      <c r="K159" s="461"/>
      <c r="L159" s="213"/>
      <c r="M159" s="213"/>
      <c r="N159" s="213"/>
      <c r="O159" s="213"/>
      <c r="P159" s="213"/>
      <c r="Q159" s="213"/>
      <c r="R159" s="213"/>
      <c r="S159" s="213"/>
    </row>
    <row r="160" spans="2:19" ht="14.4">
      <c r="B160" s="462"/>
      <c r="C160" s="460"/>
      <c r="D160" s="461"/>
      <c r="E160" s="461"/>
      <c r="F160" s="461"/>
      <c r="G160" s="461"/>
      <c r="H160" s="461"/>
      <c r="I160" s="461"/>
      <c r="J160" s="461"/>
      <c r="K160" s="461"/>
      <c r="L160" s="213"/>
      <c r="M160" s="213"/>
      <c r="N160" s="213"/>
      <c r="O160" s="213"/>
      <c r="P160" s="213"/>
      <c r="Q160" s="213"/>
      <c r="R160" s="213"/>
      <c r="S160" s="213"/>
    </row>
    <row r="161" spans="2:19" ht="14.4">
      <c r="B161" s="462"/>
      <c r="C161" s="460"/>
      <c r="D161" s="461"/>
      <c r="E161" s="461"/>
      <c r="F161" s="461"/>
      <c r="G161" s="461"/>
      <c r="H161" s="461"/>
      <c r="I161" s="461"/>
      <c r="J161" s="461"/>
      <c r="K161" s="461"/>
      <c r="L161" s="213"/>
      <c r="M161" s="213"/>
      <c r="N161" s="213"/>
      <c r="O161" s="213"/>
      <c r="P161" s="213"/>
      <c r="Q161" s="213"/>
      <c r="R161" s="213"/>
      <c r="S161" s="213"/>
    </row>
    <row r="162" spans="2:19" ht="14.4">
      <c r="B162" s="462"/>
      <c r="C162" s="460"/>
      <c r="D162" s="461"/>
      <c r="E162" s="461"/>
      <c r="F162" s="461"/>
      <c r="G162" s="461"/>
      <c r="H162" s="461"/>
      <c r="I162" s="461"/>
      <c r="J162" s="461"/>
      <c r="K162" s="461"/>
      <c r="L162" s="213"/>
      <c r="M162" s="213"/>
      <c r="N162" s="213"/>
      <c r="O162" s="213"/>
      <c r="P162" s="213"/>
      <c r="Q162" s="213"/>
      <c r="R162" s="213"/>
      <c r="S162" s="213"/>
    </row>
    <row r="163" spans="2:19" ht="14.4">
      <c r="B163" s="462"/>
      <c r="C163" s="460"/>
      <c r="D163" s="461"/>
      <c r="E163" s="461"/>
      <c r="F163" s="461"/>
      <c r="G163" s="461"/>
      <c r="H163" s="461"/>
      <c r="I163" s="461"/>
      <c r="J163" s="461"/>
      <c r="K163" s="461"/>
      <c r="L163" s="213"/>
      <c r="M163" s="213"/>
      <c r="N163" s="213"/>
      <c r="O163" s="213"/>
      <c r="P163" s="213"/>
      <c r="Q163" s="213"/>
      <c r="R163" s="213"/>
      <c r="S163" s="213"/>
    </row>
    <row r="164" spans="2:19" ht="14.4">
      <c r="B164" s="462"/>
      <c r="C164" s="460"/>
      <c r="D164" s="461"/>
      <c r="E164" s="461"/>
      <c r="F164" s="461"/>
      <c r="G164" s="461"/>
      <c r="H164" s="461"/>
      <c r="I164" s="461"/>
      <c r="J164" s="461"/>
      <c r="K164" s="461"/>
      <c r="L164" s="213"/>
      <c r="M164" s="213"/>
      <c r="N164" s="213"/>
      <c r="O164" s="213"/>
      <c r="P164" s="213"/>
      <c r="Q164" s="213"/>
      <c r="R164" s="213"/>
      <c r="S164" s="213"/>
    </row>
    <row r="165" spans="2:19" ht="14.4">
      <c r="B165" s="462"/>
      <c r="C165" s="460"/>
      <c r="D165" s="461"/>
      <c r="E165" s="461"/>
      <c r="F165" s="461"/>
      <c r="G165" s="461"/>
      <c r="H165" s="461"/>
      <c r="I165" s="461"/>
      <c r="J165" s="461"/>
      <c r="K165" s="461"/>
      <c r="L165" s="213"/>
      <c r="M165" s="213"/>
      <c r="N165" s="213"/>
      <c r="O165" s="213"/>
      <c r="P165" s="213"/>
      <c r="Q165" s="213"/>
      <c r="R165" s="213"/>
      <c r="S165" s="213"/>
    </row>
    <row r="166" spans="2:19" ht="14.4">
      <c r="B166" s="462"/>
      <c r="C166" s="460"/>
      <c r="D166" s="461"/>
      <c r="E166" s="461"/>
      <c r="F166" s="461"/>
      <c r="G166" s="461"/>
      <c r="H166" s="461"/>
      <c r="I166" s="461"/>
      <c r="J166" s="461"/>
      <c r="K166" s="461"/>
      <c r="L166" s="213"/>
      <c r="M166" s="213"/>
      <c r="N166" s="213"/>
      <c r="O166" s="213"/>
      <c r="P166" s="213"/>
      <c r="Q166" s="213"/>
      <c r="R166" s="213"/>
      <c r="S166" s="213"/>
    </row>
    <row r="167" spans="2:19" ht="14.4">
      <c r="B167" s="462"/>
      <c r="C167" s="460"/>
      <c r="D167" s="461"/>
      <c r="E167" s="461"/>
      <c r="F167" s="461"/>
      <c r="G167" s="461"/>
      <c r="H167" s="461"/>
      <c r="I167" s="461"/>
      <c r="J167" s="461"/>
      <c r="K167" s="461"/>
      <c r="L167" s="213"/>
      <c r="M167" s="213"/>
      <c r="N167" s="213"/>
      <c r="O167" s="213"/>
      <c r="P167" s="213"/>
      <c r="Q167" s="213"/>
      <c r="R167" s="213"/>
      <c r="S167" s="213"/>
    </row>
    <row r="168" spans="2:19" ht="14.4">
      <c r="B168" s="462"/>
      <c r="C168" s="460"/>
      <c r="D168" s="461"/>
      <c r="E168" s="461"/>
      <c r="F168" s="461"/>
      <c r="G168" s="461"/>
      <c r="H168" s="461"/>
      <c r="I168" s="461"/>
      <c r="J168" s="461"/>
      <c r="K168" s="461"/>
      <c r="L168" s="213"/>
      <c r="M168" s="213"/>
      <c r="N168" s="213"/>
      <c r="O168" s="213"/>
      <c r="P168" s="213"/>
      <c r="Q168" s="213"/>
      <c r="R168" s="213"/>
      <c r="S168" s="213"/>
    </row>
    <row r="169" spans="2:19" ht="14.4">
      <c r="B169" s="462"/>
      <c r="C169" s="460"/>
      <c r="D169" s="461"/>
      <c r="E169" s="461"/>
      <c r="F169" s="461"/>
      <c r="G169" s="461"/>
      <c r="H169" s="461"/>
      <c r="I169" s="461"/>
      <c r="J169" s="461"/>
      <c r="K169" s="461"/>
      <c r="L169" s="213"/>
      <c r="M169" s="213"/>
      <c r="N169" s="213"/>
      <c r="O169" s="213"/>
      <c r="P169" s="213"/>
      <c r="Q169" s="213"/>
      <c r="R169" s="213"/>
      <c r="S169" s="213"/>
    </row>
    <row r="170" spans="2:19" ht="14.4">
      <c r="B170" s="462"/>
      <c r="C170" s="460"/>
      <c r="D170" s="461"/>
      <c r="E170" s="461"/>
      <c r="F170" s="461"/>
      <c r="G170" s="461"/>
      <c r="H170" s="461"/>
      <c r="I170" s="461"/>
      <c r="J170" s="461"/>
      <c r="K170" s="461"/>
      <c r="L170" s="213"/>
      <c r="M170" s="213"/>
      <c r="N170" s="213"/>
      <c r="O170" s="213"/>
      <c r="P170" s="213"/>
      <c r="Q170" s="213"/>
      <c r="R170" s="213"/>
      <c r="S170" s="213"/>
    </row>
    <row r="171" spans="2:19" ht="14.4">
      <c r="B171" s="462"/>
      <c r="C171" s="460"/>
      <c r="D171" s="461"/>
      <c r="E171" s="461"/>
      <c r="F171" s="461"/>
      <c r="G171" s="461"/>
      <c r="H171" s="461"/>
      <c r="I171" s="461"/>
      <c r="J171" s="461"/>
      <c r="K171" s="461"/>
      <c r="L171" s="213"/>
      <c r="M171" s="213"/>
      <c r="N171" s="213"/>
      <c r="O171" s="213"/>
      <c r="P171" s="213"/>
      <c r="Q171" s="213"/>
      <c r="R171" s="213"/>
      <c r="S171" s="213"/>
    </row>
    <row r="172" spans="2:19" ht="14.4">
      <c r="B172" s="462"/>
      <c r="C172" s="460"/>
      <c r="D172" s="461"/>
      <c r="E172" s="461"/>
      <c r="F172" s="461"/>
      <c r="G172" s="461"/>
      <c r="H172" s="461"/>
      <c r="I172" s="461"/>
      <c r="J172" s="461"/>
      <c r="K172" s="461"/>
      <c r="L172" s="213"/>
      <c r="M172" s="213"/>
      <c r="N172" s="213"/>
      <c r="O172" s="213"/>
      <c r="P172" s="213"/>
      <c r="Q172" s="213"/>
      <c r="R172" s="213"/>
      <c r="S172" s="213"/>
    </row>
    <row r="173" spans="2:19" ht="14.4">
      <c r="B173" s="462"/>
      <c r="C173" s="460"/>
      <c r="D173" s="461"/>
      <c r="E173" s="461"/>
      <c r="F173" s="461"/>
      <c r="G173" s="461"/>
      <c r="H173" s="461"/>
      <c r="I173" s="461"/>
      <c r="J173" s="461"/>
      <c r="K173" s="461"/>
      <c r="L173" s="213"/>
      <c r="M173" s="213"/>
      <c r="N173" s="213"/>
      <c r="O173" s="213"/>
      <c r="P173" s="213"/>
      <c r="Q173" s="213"/>
      <c r="R173" s="213"/>
      <c r="S173" s="213"/>
    </row>
    <row r="174" spans="2:19" ht="14.4">
      <c r="B174" s="462"/>
      <c r="C174" s="460"/>
      <c r="D174" s="461"/>
      <c r="E174" s="461"/>
      <c r="F174" s="461"/>
      <c r="G174" s="461"/>
      <c r="H174" s="461"/>
      <c r="I174" s="461"/>
      <c r="J174" s="461"/>
      <c r="K174" s="461"/>
      <c r="L174" s="213"/>
      <c r="M174" s="213"/>
      <c r="N174" s="213"/>
      <c r="O174" s="213"/>
      <c r="P174" s="213"/>
      <c r="Q174" s="213"/>
      <c r="R174" s="213"/>
      <c r="S174" s="213"/>
    </row>
    <row r="175" spans="2:19" ht="14.4">
      <c r="B175" s="462"/>
      <c r="C175" s="460"/>
      <c r="D175" s="461"/>
      <c r="E175" s="461"/>
      <c r="F175" s="461"/>
      <c r="G175" s="461"/>
      <c r="H175" s="461"/>
      <c r="I175" s="461"/>
      <c r="J175" s="461"/>
      <c r="K175" s="461"/>
      <c r="L175" s="213"/>
      <c r="M175" s="213"/>
      <c r="N175" s="213"/>
      <c r="O175" s="213"/>
      <c r="P175" s="213"/>
      <c r="Q175" s="213"/>
      <c r="R175" s="213"/>
      <c r="S175" s="213"/>
    </row>
    <row r="176" spans="2:19" ht="39.6" customHeight="1"/>
    <row r="177" spans="2:19" ht="18" customHeight="1">
      <c r="B177" s="441" t="s">
        <v>331</v>
      </c>
      <c r="C177" s="435" t="s">
        <v>291</v>
      </c>
      <c r="D177" s="435" t="s">
        <v>324</v>
      </c>
      <c r="E177" s="435"/>
      <c r="F177" s="435"/>
      <c r="G177" s="435"/>
      <c r="H177" s="435"/>
      <c r="I177" s="435"/>
      <c r="J177" s="435"/>
      <c r="K177" s="419"/>
      <c r="L177" s="211"/>
      <c r="M177" s="211"/>
      <c r="N177" s="211"/>
      <c r="O177" s="211"/>
      <c r="P177" s="211"/>
      <c r="Q177" s="211"/>
      <c r="R177" s="211"/>
      <c r="S177" s="211"/>
    </row>
    <row r="178" spans="2:19" ht="18" customHeight="1">
      <c r="B178" s="441"/>
      <c r="C178" s="435"/>
      <c r="D178" s="435"/>
      <c r="E178" s="435"/>
      <c r="F178" s="435"/>
      <c r="G178" s="435"/>
      <c r="H178" s="435"/>
      <c r="I178" s="435"/>
      <c r="J178" s="435"/>
      <c r="K178" s="419"/>
      <c r="L178" s="211"/>
      <c r="M178" s="211"/>
      <c r="N178" s="211"/>
      <c r="O178" s="211"/>
      <c r="P178" s="211"/>
      <c r="Q178" s="211"/>
      <c r="R178" s="211"/>
      <c r="S178" s="211"/>
    </row>
    <row r="179" spans="2:19" ht="18" customHeight="1">
      <c r="B179" s="441"/>
      <c r="C179" s="435"/>
      <c r="D179" s="435"/>
      <c r="E179" s="435"/>
      <c r="F179" s="435"/>
      <c r="G179" s="435"/>
      <c r="H179" s="435"/>
      <c r="I179" s="435"/>
      <c r="J179" s="435"/>
      <c r="K179" s="419"/>
      <c r="L179" s="211"/>
      <c r="M179" s="211"/>
      <c r="N179" s="211"/>
      <c r="O179" s="211"/>
      <c r="P179" s="211"/>
      <c r="Q179" s="211"/>
      <c r="R179" s="211"/>
      <c r="S179" s="211"/>
    </row>
    <row r="180" spans="2:19" ht="18" customHeight="1">
      <c r="B180" s="441"/>
      <c r="C180" s="435"/>
      <c r="D180" s="435"/>
      <c r="E180" s="435"/>
      <c r="F180" s="435"/>
      <c r="G180" s="435"/>
      <c r="H180" s="435"/>
      <c r="I180" s="435"/>
      <c r="J180" s="435"/>
      <c r="K180" s="419"/>
      <c r="L180" s="211"/>
      <c r="M180" s="211"/>
      <c r="N180" s="211"/>
      <c r="O180" s="211"/>
      <c r="P180" s="211"/>
      <c r="Q180" s="211"/>
      <c r="R180" s="211"/>
      <c r="S180" s="211"/>
    </row>
    <row r="181" spans="2:19" ht="18" customHeight="1">
      <c r="B181" s="441"/>
      <c r="C181" s="435"/>
      <c r="D181" s="435"/>
      <c r="E181" s="435"/>
      <c r="F181" s="435"/>
      <c r="G181" s="435"/>
      <c r="H181" s="435"/>
      <c r="I181" s="435"/>
      <c r="J181" s="435"/>
      <c r="K181" s="419"/>
      <c r="L181" s="211"/>
      <c r="M181" s="211"/>
      <c r="N181" s="211"/>
      <c r="O181" s="211"/>
      <c r="P181" s="211"/>
      <c r="Q181" s="211"/>
      <c r="R181" s="211"/>
      <c r="S181" s="211"/>
    </row>
    <row r="182" spans="2:19" ht="18" customHeight="1">
      <c r="B182" s="441"/>
      <c r="C182" s="435"/>
      <c r="D182" s="435"/>
      <c r="E182" s="435"/>
      <c r="F182" s="435"/>
      <c r="G182" s="435"/>
      <c r="H182" s="435"/>
      <c r="I182" s="435"/>
      <c r="J182" s="435"/>
      <c r="K182" s="419"/>
      <c r="L182" s="211"/>
      <c r="M182" s="211"/>
      <c r="N182" s="211"/>
      <c r="O182" s="211"/>
      <c r="P182" s="211"/>
      <c r="Q182" s="211"/>
      <c r="R182" s="211"/>
      <c r="S182" s="211"/>
    </row>
    <row r="183" spans="2:19" ht="18" customHeight="1">
      <c r="B183" s="441"/>
      <c r="C183" s="420"/>
      <c r="D183" s="420"/>
      <c r="E183" s="420"/>
      <c r="F183" s="420"/>
      <c r="G183" s="420"/>
      <c r="H183" s="420"/>
      <c r="I183" s="420"/>
      <c r="J183" s="420"/>
      <c r="K183" s="420"/>
    </row>
    <row r="184" spans="2:19" ht="18" customHeight="1">
      <c r="B184" s="441"/>
      <c r="C184" s="436" t="s">
        <v>293</v>
      </c>
      <c r="D184" s="437" t="s">
        <v>333</v>
      </c>
      <c r="E184" s="437"/>
      <c r="F184" s="437"/>
      <c r="G184" s="437"/>
      <c r="H184" s="437"/>
      <c r="I184" s="437"/>
      <c r="J184" s="437"/>
      <c r="K184" s="437"/>
      <c r="L184" s="416"/>
      <c r="M184" s="416"/>
      <c r="N184" s="416"/>
      <c r="O184" s="416"/>
      <c r="P184" s="416"/>
      <c r="Q184" s="416"/>
      <c r="R184" s="416"/>
      <c r="S184" s="416"/>
    </row>
    <row r="185" spans="2:19" ht="18" customHeight="1">
      <c r="B185" s="441"/>
      <c r="C185" s="436"/>
      <c r="D185" s="437"/>
      <c r="E185" s="437"/>
      <c r="F185" s="437"/>
      <c r="G185" s="437"/>
      <c r="H185" s="437"/>
      <c r="I185" s="437"/>
      <c r="J185" s="437"/>
      <c r="K185" s="437"/>
      <c r="L185" s="416"/>
      <c r="M185" s="416"/>
      <c r="N185" s="416"/>
      <c r="O185" s="416"/>
      <c r="P185" s="416"/>
      <c r="Q185" s="416"/>
      <c r="R185" s="416"/>
      <c r="S185" s="416"/>
    </row>
    <row r="186" spans="2:19" ht="18" customHeight="1">
      <c r="B186" s="441"/>
      <c r="C186" s="436"/>
      <c r="D186" s="437"/>
      <c r="E186" s="437"/>
      <c r="F186" s="437"/>
      <c r="G186" s="437"/>
      <c r="H186" s="437"/>
      <c r="I186" s="437"/>
      <c r="J186" s="437"/>
      <c r="K186" s="437"/>
      <c r="L186" s="416"/>
      <c r="M186" s="416"/>
      <c r="N186" s="416"/>
      <c r="O186" s="416"/>
      <c r="P186" s="416"/>
      <c r="Q186" s="416"/>
      <c r="R186" s="416"/>
      <c r="S186" s="416"/>
    </row>
    <row r="187" spans="2:19" ht="18" customHeight="1">
      <c r="B187" s="441"/>
      <c r="C187" s="436"/>
      <c r="D187" s="437"/>
      <c r="E187" s="437"/>
      <c r="F187" s="437"/>
      <c r="G187" s="437"/>
      <c r="H187" s="437"/>
      <c r="I187" s="437"/>
      <c r="J187" s="437"/>
      <c r="K187" s="437"/>
      <c r="L187" s="416"/>
      <c r="M187" s="416"/>
      <c r="N187" s="416"/>
      <c r="O187" s="416"/>
      <c r="P187" s="416"/>
      <c r="Q187" s="416"/>
      <c r="R187" s="416"/>
      <c r="S187" s="416"/>
    </row>
    <row r="188" spans="2:19" ht="18" customHeight="1">
      <c r="B188" s="441"/>
      <c r="C188" s="436"/>
      <c r="D188" s="437"/>
      <c r="E188" s="437"/>
      <c r="F188" s="437"/>
      <c r="G188" s="437"/>
      <c r="H188" s="437"/>
      <c r="I188" s="437"/>
      <c r="J188" s="437"/>
      <c r="K188" s="437"/>
      <c r="L188" s="416"/>
      <c r="M188" s="416"/>
      <c r="N188" s="416"/>
      <c r="O188" s="416"/>
      <c r="P188" s="416"/>
      <c r="Q188" s="416"/>
      <c r="R188" s="416"/>
      <c r="S188" s="416"/>
    </row>
    <row r="189" spans="2:19" ht="18" customHeight="1">
      <c r="B189" s="441"/>
      <c r="C189" s="436"/>
      <c r="D189" s="437"/>
      <c r="E189" s="437"/>
      <c r="F189" s="437"/>
      <c r="G189" s="437"/>
      <c r="H189" s="437"/>
      <c r="I189" s="437"/>
      <c r="J189" s="437"/>
      <c r="K189" s="437"/>
      <c r="L189" s="416"/>
      <c r="M189" s="416"/>
      <c r="N189" s="416"/>
      <c r="O189" s="416"/>
      <c r="P189" s="416"/>
      <c r="Q189" s="416"/>
      <c r="R189" s="416"/>
      <c r="S189" s="416"/>
    </row>
    <row r="190" spans="2:19" ht="18" customHeight="1">
      <c r="B190" s="441"/>
      <c r="C190" s="436"/>
      <c r="D190" s="437"/>
      <c r="E190" s="437"/>
      <c r="F190" s="437"/>
      <c r="G190" s="437"/>
      <c r="H190" s="437"/>
      <c r="I190" s="437"/>
      <c r="J190" s="437"/>
      <c r="K190" s="437"/>
      <c r="L190" s="416"/>
      <c r="M190" s="416"/>
      <c r="N190" s="416"/>
      <c r="O190" s="416"/>
      <c r="P190" s="416"/>
      <c r="Q190" s="416"/>
      <c r="R190" s="416"/>
      <c r="S190" s="416"/>
    </row>
    <row r="191" spans="2:19" ht="18" customHeight="1">
      <c r="B191" s="441"/>
      <c r="C191" s="436"/>
      <c r="D191" s="437"/>
      <c r="E191" s="437"/>
      <c r="F191" s="437"/>
      <c r="G191" s="437"/>
      <c r="H191" s="437"/>
      <c r="I191" s="437"/>
      <c r="J191" s="437"/>
      <c r="K191" s="437"/>
      <c r="L191" s="416"/>
      <c r="M191" s="416"/>
      <c r="N191" s="416"/>
      <c r="O191" s="416"/>
      <c r="P191" s="416"/>
      <c r="Q191" s="416"/>
      <c r="R191" s="416"/>
      <c r="S191" s="416"/>
    </row>
    <row r="192" spans="2:19" ht="18" customHeight="1">
      <c r="B192" s="441"/>
      <c r="C192" s="436"/>
      <c r="D192" s="437"/>
      <c r="E192" s="437"/>
      <c r="F192" s="437"/>
      <c r="G192" s="437"/>
      <c r="H192" s="437"/>
      <c r="I192" s="437"/>
      <c r="J192" s="437"/>
      <c r="K192" s="437"/>
      <c r="L192" s="416"/>
      <c r="M192" s="416"/>
      <c r="N192" s="416"/>
      <c r="O192" s="416"/>
      <c r="P192" s="416"/>
      <c r="Q192" s="416"/>
      <c r="R192" s="416"/>
      <c r="S192" s="416"/>
    </row>
    <row r="193" spans="2:19" ht="18" customHeight="1">
      <c r="B193" s="441"/>
      <c r="C193" s="436"/>
      <c r="D193" s="437"/>
      <c r="E193" s="437"/>
      <c r="F193" s="437"/>
      <c r="G193" s="437"/>
      <c r="H193" s="437"/>
      <c r="I193" s="437"/>
      <c r="J193" s="437"/>
      <c r="K193" s="437"/>
      <c r="L193" s="416"/>
      <c r="M193" s="416"/>
      <c r="N193" s="416"/>
      <c r="O193" s="416"/>
      <c r="P193" s="416"/>
      <c r="Q193" s="416"/>
      <c r="R193" s="416"/>
      <c r="S193" s="416"/>
    </row>
    <row r="194" spans="2:19" ht="18" customHeight="1">
      <c r="B194" s="441"/>
      <c r="C194" s="436"/>
      <c r="D194" s="437"/>
      <c r="E194" s="437"/>
      <c r="F194" s="437"/>
      <c r="G194" s="437"/>
      <c r="H194" s="437"/>
      <c r="I194" s="437"/>
      <c r="J194" s="437"/>
      <c r="K194" s="437"/>
      <c r="L194" s="416"/>
      <c r="M194" s="416"/>
      <c r="N194" s="416"/>
      <c r="O194" s="416"/>
      <c r="P194" s="416"/>
      <c r="Q194" s="416"/>
      <c r="R194" s="416"/>
      <c r="S194" s="416"/>
    </row>
    <row r="195" spans="2:19" ht="18" customHeight="1">
      <c r="B195" s="441"/>
      <c r="C195" s="436"/>
      <c r="D195" s="437"/>
      <c r="E195" s="437"/>
      <c r="F195" s="437"/>
      <c r="G195" s="437"/>
      <c r="H195" s="437"/>
      <c r="I195" s="437"/>
      <c r="J195" s="437"/>
      <c r="K195" s="437"/>
      <c r="L195" s="416"/>
      <c r="M195" s="416"/>
      <c r="N195" s="416"/>
      <c r="O195" s="416"/>
      <c r="P195" s="416"/>
      <c r="Q195" s="416"/>
      <c r="R195" s="416"/>
      <c r="S195" s="416"/>
    </row>
    <row r="196" spans="2:19" ht="18" customHeight="1">
      <c r="B196" s="441"/>
      <c r="C196" s="436"/>
      <c r="D196" s="437"/>
      <c r="E196" s="437"/>
      <c r="F196" s="437"/>
      <c r="G196" s="437"/>
      <c r="H196" s="437"/>
      <c r="I196" s="437"/>
      <c r="J196" s="437"/>
      <c r="K196" s="437"/>
      <c r="L196" s="416"/>
      <c r="M196" s="416"/>
      <c r="N196" s="416"/>
      <c r="O196" s="416"/>
      <c r="P196" s="416"/>
      <c r="Q196" s="416"/>
      <c r="R196" s="416"/>
      <c r="S196" s="416"/>
    </row>
    <row r="197" spans="2:19" ht="18" customHeight="1">
      <c r="B197" s="441"/>
      <c r="C197" s="436"/>
      <c r="D197" s="437"/>
      <c r="E197" s="437"/>
      <c r="F197" s="437"/>
      <c r="G197" s="437"/>
      <c r="H197" s="437"/>
      <c r="I197" s="437"/>
      <c r="J197" s="437"/>
      <c r="K197" s="437"/>
      <c r="L197" s="416"/>
      <c r="M197" s="416"/>
      <c r="N197" s="416"/>
      <c r="O197" s="416"/>
      <c r="P197" s="416"/>
      <c r="Q197" s="416"/>
      <c r="R197" s="416"/>
      <c r="S197" s="416"/>
    </row>
    <row r="198" spans="2:19" ht="18" customHeight="1">
      <c r="B198" s="441"/>
      <c r="C198" s="424"/>
      <c r="D198" s="429"/>
      <c r="E198" s="429"/>
      <c r="F198" s="429"/>
      <c r="G198" s="429"/>
      <c r="H198" s="429"/>
      <c r="I198" s="429"/>
      <c r="J198" s="429"/>
      <c r="K198" s="429"/>
      <c r="L198" s="415"/>
      <c r="M198" s="415"/>
      <c r="N198" s="415"/>
      <c r="O198" s="415"/>
      <c r="P198" s="415"/>
      <c r="Q198" s="415"/>
      <c r="R198" s="415"/>
      <c r="S198" s="415"/>
    </row>
    <row r="199" spans="2:19" ht="18" customHeight="1">
      <c r="B199" s="441"/>
      <c r="C199" s="438" t="s">
        <v>294</v>
      </c>
      <c r="D199" s="439" t="s">
        <v>334</v>
      </c>
      <c r="E199" s="440"/>
      <c r="F199" s="440"/>
      <c r="G199" s="440"/>
      <c r="H199" s="440"/>
      <c r="I199" s="440"/>
      <c r="J199" s="440"/>
      <c r="K199" s="440"/>
      <c r="L199" s="212"/>
      <c r="M199" s="212"/>
      <c r="N199" s="212"/>
      <c r="O199" s="212"/>
      <c r="P199" s="212"/>
      <c r="Q199" s="212"/>
      <c r="R199" s="212"/>
      <c r="S199" s="212"/>
    </row>
    <row r="200" spans="2:19" ht="18" customHeight="1">
      <c r="B200" s="441"/>
      <c r="C200" s="438"/>
      <c r="D200" s="440"/>
      <c r="E200" s="440"/>
      <c r="F200" s="440"/>
      <c r="G200" s="440"/>
      <c r="H200" s="440"/>
      <c r="I200" s="440"/>
      <c r="J200" s="440"/>
      <c r="K200" s="440"/>
      <c r="L200" s="212"/>
      <c r="M200" s="212"/>
      <c r="N200" s="212"/>
      <c r="O200" s="212"/>
      <c r="P200" s="212"/>
      <c r="Q200" s="212"/>
      <c r="R200" s="212"/>
      <c r="S200" s="212"/>
    </row>
    <row r="201" spans="2:19" ht="18" customHeight="1">
      <c r="B201" s="441"/>
      <c r="C201" s="438"/>
      <c r="D201" s="440"/>
      <c r="E201" s="440"/>
      <c r="F201" s="440"/>
      <c r="G201" s="440"/>
      <c r="H201" s="440"/>
      <c r="I201" s="440"/>
      <c r="J201" s="440"/>
      <c r="K201" s="440"/>
      <c r="L201" s="212"/>
      <c r="M201" s="212"/>
      <c r="N201" s="212"/>
      <c r="O201" s="212"/>
      <c r="P201" s="212"/>
      <c r="Q201" s="212"/>
      <c r="R201" s="212"/>
      <c r="S201" s="212"/>
    </row>
    <row r="202" spans="2:19" ht="18" customHeight="1">
      <c r="B202" s="441"/>
      <c r="C202" s="438"/>
      <c r="D202" s="440"/>
      <c r="E202" s="440"/>
      <c r="F202" s="440"/>
      <c r="G202" s="440"/>
      <c r="H202" s="440"/>
      <c r="I202" s="440"/>
      <c r="J202" s="440"/>
      <c r="K202" s="440"/>
      <c r="L202" s="212"/>
      <c r="M202" s="212"/>
      <c r="N202" s="212"/>
      <c r="O202" s="212"/>
      <c r="P202" s="212"/>
      <c r="Q202" s="212"/>
      <c r="R202" s="212"/>
      <c r="S202" s="212"/>
    </row>
    <row r="203" spans="2:19" ht="18" customHeight="1">
      <c r="B203" s="441"/>
      <c r="C203" s="438"/>
      <c r="D203" s="440"/>
      <c r="E203" s="440"/>
      <c r="F203" s="440"/>
      <c r="G203" s="440"/>
      <c r="H203" s="440"/>
      <c r="I203" s="440"/>
      <c r="J203" s="440"/>
      <c r="K203" s="440"/>
      <c r="L203" s="212"/>
      <c r="M203" s="212"/>
      <c r="N203" s="212"/>
      <c r="O203" s="212"/>
      <c r="P203" s="212"/>
      <c r="Q203" s="212"/>
      <c r="R203" s="212"/>
      <c r="S203" s="212"/>
    </row>
    <row r="204" spans="2:19" ht="18" customHeight="1">
      <c r="B204" s="441"/>
      <c r="C204" s="438"/>
      <c r="D204" s="440"/>
      <c r="E204" s="440"/>
      <c r="F204" s="440"/>
      <c r="G204" s="440"/>
      <c r="H204" s="440"/>
      <c r="I204" s="440"/>
      <c r="J204" s="440"/>
      <c r="K204" s="440"/>
      <c r="L204" s="212"/>
      <c r="M204" s="212"/>
      <c r="N204" s="212"/>
      <c r="O204" s="212"/>
      <c r="P204" s="212"/>
      <c r="Q204" s="212"/>
      <c r="R204" s="212"/>
      <c r="S204" s="212"/>
    </row>
    <row r="205" spans="2:19" ht="18" customHeight="1">
      <c r="B205" s="441"/>
      <c r="C205" s="438"/>
      <c r="D205" s="440"/>
      <c r="E205" s="440"/>
      <c r="F205" s="440"/>
      <c r="G205" s="440"/>
      <c r="H205" s="440"/>
      <c r="I205" s="440"/>
      <c r="J205" s="440"/>
      <c r="K205" s="440"/>
      <c r="L205" s="212"/>
      <c r="M205" s="212"/>
      <c r="N205" s="212"/>
      <c r="O205" s="212"/>
      <c r="P205" s="212"/>
      <c r="Q205" s="212"/>
      <c r="R205" s="212"/>
      <c r="S205" s="212"/>
    </row>
    <row r="206" spans="2:19" ht="20.399999999999999" customHeight="1">
      <c r="B206" s="441"/>
      <c r="C206" s="430"/>
      <c r="D206" s="440"/>
      <c r="E206" s="440"/>
      <c r="F206" s="440"/>
      <c r="G206" s="440"/>
      <c r="H206" s="440"/>
      <c r="I206" s="440"/>
      <c r="J206" s="440"/>
      <c r="K206" s="440"/>
      <c r="L206" s="212"/>
      <c r="M206" s="212"/>
      <c r="N206" s="212"/>
      <c r="O206" s="212"/>
      <c r="P206" s="212"/>
      <c r="Q206" s="212"/>
      <c r="R206" s="212"/>
      <c r="S206" s="212"/>
    </row>
    <row r="207" spans="2:19" ht="20.399999999999999" customHeight="1">
      <c r="B207" s="441"/>
      <c r="C207" s="430"/>
      <c r="D207" s="440"/>
      <c r="E207" s="440"/>
      <c r="F207" s="440"/>
      <c r="G207" s="440"/>
      <c r="H207" s="440"/>
      <c r="I207" s="440"/>
      <c r="J207" s="440"/>
      <c r="K207" s="440"/>
      <c r="L207" s="212"/>
      <c r="M207" s="212"/>
      <c r="N207" s="212"/>
      <c r="O207" s="212"/>
      <c r="P207" s="212"/>
      <c r="Q207" s="212"/>
      <c r="R207" s="212"/>
      <c r="S207" s="212"/>
    </row>
    <row r="208" spans="2:19" ht="20.399999999999999" customHeight="1">
      <c r="B208" s="441"/>
      <c r="C208" s="430"/>
      <c r="D208" s="440"/>
      <c r="E208" s="440"/>
      <c r="F208" s="440"/>
      <c r="G208" s="440"/>
      <c r="H208" s="440"/>
      <c r="I208" s="440"/>
      <c r="J208" s="440"/>
      <c r="K208" s="440"/>
      <c r="L208" s="212"/>
      <c r="M208" s="212"/>
      <c r="N208" s="212"/>
      <c r="O208" s="212"/>
      <c r="P208" s="212"/>
      <c r="Q208" s="212"/>
      <c r="R208" s="212"/>
      <c r="S208" s="212"/>
    </row>
    <row r="209" spans="2:19" ht="18" customHeight="1">
      <c r="B209" s="441"/>
      <c r="C209" s="212"/>
      <c r="D209" s="212"/>
      <c r="E209" s="212"/>
      <c r="F209" s="212"/>
      <c r="G209" s="212"/>
      <c r="H209" s="212"/>
      <c r="I209" s="212"/>
      <c r="J209" s="212"/>
      <c r="K209" s="212"/>
      <c r="L209" s="212"/>
      <c r="M209" s="212"/>
      <c r="N209" s="212"/>
      <c r="O209" s="212"/>
      <c r="P209" s="212"/>
      <c r="Q209" s="212"/>
      <c r="R209" s="212"/>
      <c r="S209" s="212"/>
    </row>
    <row r="210" spans="2:19" ht="18" customHeight="1">
      <c r="B210" s="441"/>
      <c r="C210" s="212"/>
      <c r="D210" s="212"/>
      <c r="E210" s="212"/>
      <c r="F210" s="212"/>
      <c r="G210" s="212"/>
      <c r="H210" s="212"/>
      <c r="I210" s="212"/>
      <c r="J210" s="212"/>
      <c r="K210" s="212"/>
      <c r="L210" s="212"/>
      <c r="M210" s="212"/>
      <c r="N210" s="212"/>
      <c r="O210" s="212"/>
      <c r="P210" s="212"/>
      <c r="Q210" s="212"/>
      <c r="R210" s="212"/>
      <c r="S210" s="212"/>
    </row>
    <row r="211" spans="2:19" ht="18" customHeight="1">
      <c r="B211" s="441"/>
      <c r="C211" s="212"/>
      <c r="D211" s="212"/>
      <c r="E211" s="212"/>
      <c r="F211" s="212"/>
      <c r="G211" s="212"/>
      <c r="H211" s="212"/>
      <c r="I211" s="212"/>
      <c r="J211" s="212"/>
      <c r="K211" s="212"/>
      <c r="L211" s="212"/>
      <c r="M211" s="212"/>
      <c r="N211" s="212"/>
      <c r="O211" s="212"/>
      <c r="P211" s="212"/>
      <c r="Q211" s="212"/>
      <c r="R211" s="212"/>
      <c r="S211" s="212"/>
    </row>
    <row r="212" spans="2:19" ht="18" customHeight="1">
      <c r="B212" s="441"/>
      <c r="C212" s="212"/>
      <c r="D212" s="212"/>
      <c r="E212" s="212"/>
      <c r="F212" s="212"/>
      <c r="G212" s="212"/>
      <c r="H212" s="212"/>
      <c r="I212" s="212"/>
      <c r="J212" s="212"/>
      <c r="K212" s="212"/>
      <c r="L212" s="212"/>
      <c r="M212" s="212"/>
      <c r="N212" s="212"/>
      <c r="O212" s="212"/>
      <c r="P212" s="212"/>
      <c r="Q212" s="212"/>
      <c r="R212" s="212"/>
      <c r="S212" s="212"/>
    </row>
  </sheetData>
  <sheetProtection algorithmName="SHA-512" hashValue="HYGs0DYcKGOnQGefNYYY5JtGPtvZjioip5kzPM6qpaw26G/zBw0GDUVjfIQdLBWTDO2BjckRFZ1b0yj51sJ4dA==" saltValue="BbTVfQKJ2nO6lT/nBkhq+g==" spinCount="100000" sheet="1" objects="1" scenarios="1" selectLockedCells="1"/>
  <mergeCells count="38">
    <mergeCell ref="C8:K13"/>
    <mergeCell ref="B92:S95"/>
    <mergeCell ref="C132:C138"/>
    <mergeCell ref="D140:K153"/>
    <mergeCell ref="C140:C153"/>
    <mergeCell ref="B132:B175"/>
    <mergeCell ref="C97:C103"/>
    <mergeCell ref="D97:J103"/>
    <mergeCell ref="D105:J113"/>
    <mergeCell ref="A92:A107"/>
    <mergeCell ref="C50:K57"/>
    <mergeCell ref="B50:B57"/>
    <mergeCell ref="B59:B85"/>
    <mergeCell ref="C59:K85"/>
    <mergeCell ref="C199:C205"/>
    <mergeCell ref="D199:K208"/>
    <mergeCell ref="B177:B212"/>
    <mergeCell ref="C105:C113"/>
    <mergeCell ref="C115:C129"/>
    <mergeCell ref="D115:J129"/>
    <mergeCell ref="C155:C175"/>
    <mergeCell ref="D155:K175"/>
    <mergeCell ref="B1:S3"/>
    <mergeCell ref="B97:B129"/>
    <mergeCell ref="C177:C182"/>
    <mergeCell ref="D177:J182"/>
    <mergeCell ref="C184:C197"/>
    <mergeCell ref="D184:K197"/>
    <mergeCell ref="B4:S6"/>
    <mergeCell ref="B32:B37"/>
    <mergeCell ref="C32:K37"/>
    <mergeCell ref="C39:K48"/>
    <mergeCell ref="B39:B48"/>
    <mergeCell ref="B15:B20"/>
    <mergeCell ref="C15:K20"/>
    <mergeCell ref="C22:K30"/>
    <mergeCell ref="B22:B30"/>
    <mergeCell ref="B8:B1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FR321"/>
  <sheetViews>
    <sheetView showGridLines="0" rightToLeft="1" zoomScaleNormal="100" workbookViewId="0">
      <selection activeCell="T19" sqref="T19:AK19"/>
    </sheetView>
  </sheetViews>
  <sheetFormatPr defaultColWidth="9.109375" defaultRowHeight="17.399999999999999"/>
  <cols>
    <col min="1" max="1" width="2.33203125" style="8" customWidth="1"/>
    <col min="2" max="2" width="3.21875" style="8" customWidth="1"/>
    <col min="3" max="3" width="2.33203125" style="75" customWidth="1"/>
    <col min="4" max="4" width="2.33203125" style="8" customWidth="1"/>
    <col min="5" max="5" width="2.6640625" style="8" customWidth="1"/>
    <col min="6" max="6" width="2.21875" style="8" customWidth="1"/>
    <col min="7" max="12" width="2.33203125" style="8" customWidth="1"/>
    <col min="13" max="13" width="2" style="8" customWidth="1"/>
    <col min="14" max="14" width="2.21875" style="8" customWidth="1"/>
    <col min="15" max="16" width="2.33203125" style="8" customWidth="1"/>
    <col min="17" max="26" width="2.77734375" style="8" customWidth="1"/>
    <col min="27" max="27" width="2.33203125" style="8" customWidth="1"/>
    <col min="28" max="28" width="2.21875" style="8" customWidth="1"/>
    <col min="29" max="32" width="2.77734375" style="8" customWidth="1"/>
    <col min="33" max="35" width="2" style="8" customWidth="1"/>
    <col min="36" max="37" width="1.88671875" style="8" customWidth="1"/>
    <col min="38" max="38" width="2.44140625" style="76" customWidth="1"/>
    <col min="39" max="39" width="6.5546875" style="123" customWidth="1"/>
    <col min="40" max="40" width="11.44140625" style="124" customWidth="1"/>
    <col min="41" max="41" width="2.109375" style="98" customWidth="1"/>
    <col min="42" max="42" width="6.33203125" style="127" customWidth="1"/>
    <col min="43" max="43" width="10.33203125" style="128" customWidth="1"/>
    <col min="44" max="44" width="2.44140625" style="7" customWidth="1"/>
    <col min="45" max="54" width="6.109375" style="87" customWidth="1"/>
    <col min="55" max="55" width="12.21875" style="76" customWidth="1"/>
    <col min="56" max="56" width="18.44140625" style="76" customWidth="1"/>
    <col min="57" max="57" width="22.44140625" style="76" customWidth="1"/>
    <col min="58" max="58" width="32.33203125" style="76" customWidth="1"/>
    <col min="59" max="72" width="12.21875" style="76" customWidth="1"/>
    <col min="73" max="75" width="9.109375" style="76"/>
    <col min="76" max="76" width="9.109375" style="77"/>
    <col min="77" max="78" width="9.109375" style="76"/>
    <col min="79" max="79" width="9.109375" style="78"/>
    <col min="80" max="89" width="9.109375" style="76"/>
    <col min="90" max="92" width="9.109375" style="87"/>
    <col min="93" max="93" width="9.109375" style="76"/>
    <col min="94" max="174" width="9.109375" style="6"/>
    <col min="175" max="16384" width="9.109375" style="8"/>
  </cols>
  <sheetData>
    <row r="1" spans="2:79" ht="18.600000000000001" customHeight="1" thickBot="1"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5"/>
      <c r="AM1" s="121" t="s">
        <v>74</v>
      </c>
      <c r="AN1" s="122" t="s">
        <v>107</v>
      </c>
      <c r="AO1" s="99"/>
      <c r="AP1" s="125" t="s">
        <v>74</v>
      </c>
      <c r="AQ1" s="126" t="s">
        <v>75</v>
      </c>
    </row>
    <row r="2" spans="2:79" ht="25.8" customHeight="1" thickBot="1">
      <c r="B2" s="9"/>
      <c r="C2" s="464" t="s">
        <v>92</v>
      </c>
      <c r="D2" s="465"/>
      <c r="E2" s="465"/>
      <c r="F2" s="465"/>
      <c r="G2" s="465"/>
      <c r="H2" s="465"/>
      <c r="I2" s="465"/>
      <c r="J2" s="465"/>
      <c r="K2" s="465"/>
      <c r="L2" s="465"/>
      <c r="M2" s="465"/>
      <c r="N2" s="465"/>
      <c r="O2" s="465"/>
      <c r="P2" s="465"/>
      <c r="Q2" s="465"/>
      <c r="R2" s="465"/>
      <c r="S2" s="465"/>
      <c r="T2" s="465"/>
      <c r="U2" s="465"/>
      <c r="V2" s="465"/>
      <c r="W2" s="465"/>
      <c r="X2" s="465"/>
      <c r="Y2" s="465"/>
      <c r="Z2" s="465"/>
      <c r="AA2" s="465"/>
      <c r="AB2" s="465"/>
      <c r="AC2" s="465"/>
      <c r="AD2" s="465"/>
      <c r="AE2" s="465"/>
      <c r="AF2" s="465"/>
      <c r="AG2" s="465"/>
      <c r="AH2" s="465"/>
      <c r="AI2" s="465"/>
      <c r="AJ2" s="466"/>
      <c r="AK2" s="10"/>
      <c r="AM2" s="102">
        <f t="shared" ref="AM2:AM65" si="0">CA7</f>
        <v>0</v>
      </c>
      <c r="AN2" s="103">
        <f t="shared" ref="AN2:AN65" si="1">BW7</f>
        <v>0.33</v>
      </c>
      <c r="AP2" s="104">
        <f t="shared" ref="AP2:AP65" si="2">CA7</f>
        <v>0</v>
      </c>
      <c r="AQ2" s="105">
        <f t="shared" ref="AQ2:AQ65" si="3">BX7</f>
        <v>1.1000000000000001</v>
      </c>
      <c r="AS2" s="630" t="s">
        <v>73</v>
      </c>
      <c r="AT2" s="630"/>
      <c r="AU2" s="630"/>
      <c r="AV2" s="630"/>
      <c r="AW2" s="630"/>
      <c r="AX2" s="630"/>
      <c r="AY2" s="630"/>
      <c r="AZ2" s="630"/>
      <c r="BA2" s="630"/>
      <c r="BB2" s="630"/>
    </row>
    <row r="3" spans="2:79" ht="18.600000000000001" customHeight="1" thickBot="1">
      <c r="B3" s="11"/>
      <c r="C3" s="12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4"/>
      <c r="AM3" s="102">
        <f t="shared" si="0"/>
        <v>0.02</v>
      </c>
      <c r="AN3" s="103">
        <f t="shared" si="1"/>
        <v>0.39600000000000002</v>
      </c>
      <c r="AP3" s="104">
        <f t="shared" si="2"/>
        <v>0.02</v>
      </c>
      <c r="AQ3" s="105">
        <f t="shared" si="3"/>
        <v>1.32</v>
      </c>
      <c r="AS3" s="630"/>
      <c r="AT3" s="630"/>
      <c r="AU3" s="630"/>
      <c r="AV3" s="630"/>
      <c r="AW3" s="630"/>
      <c r="AX3" s="630"/>
      <c r="AY3" s="630"/>
      <c r="AZ3" s="630"/>
      <c r="BA3" s="630"/>
      <c r="BB3" s="630"/>
    </row>
    <row r="4" spans="2:79" ht="13.65" customHeight="1" thickBot="1">
      <c r="B4" s="15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7"/>
      <c r="AL4" s="85"/>
      <c r="AM4" s="102">
        <f t="shared" si="0"/>
        <v>0.04</v>
      </c>
      <c r="AN4" s="103">
        <f t="shared" si="1"/>
        <v>0.46199999999999997</v>
      </c>
      <c r="AP4" s="104">
        <f t="shared" si="2"/>
        <v>0.04</v>
      </c>
      <c r="AQ4" s="105">
        <f t="shared" si="3"/>
        <v>1.54</v>
      </c>
      <c r="AS4" s="630"/>
      <c r="AT4" s="630"/>
      <c r="AU4" s="630"/>
      <c r="AV4" s="630"/>
      <c r="AW4" s="630"/>
      <c r="AX4" s="630"/>
      <c r="AY4" s="630"/>
      <c r="AZ4" s="630"/>
      <c r="BA4" s="630"/>
      <c r="BB4" s="630"/>
      <c r="BN4" s="76" t="s">
        <v>99</v>
      </c>
      <c r="BO4" s="76" t="s">
        <v>98</v>
      </c>
      <c r="BP4" s="76" t="s">
        <v>100</v>
      </c>
      <c r="BQ4" s="81" t="s">
        <v>103</v>
      </c>
      <c r="BR4" s="81" t="s">
        <v>102</v>
      </c>
      <c r="BS4" s="81" t="s">
        <v>101</v>
      </c>
      <c r="BT4" s="76" t="s">
        <v>12</v>
      </c>
      <c r="BV4" s="624" t="s">
        <v>104</v>
      </c>
      <c r="BW4" s="624"/>
      <c r="BX4" s="624"/>
      <c r="BY4" s="624"/>
      <c r="BZ4" s="624"/>
      <c r="CA4" s="624"/>
    </row>
    <row r="5" spans="2:79" ht="30.6" customHeight="1" thickBot="1">
      <c r="B5" s="512"/>
      <c r="C5" s="487" t="s">
        <v>84</v>
      </c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8"/>
      <c r="U5" s="488"/>
      <c r="V5" s="488"/>
      <c r="W5" s="488"/>
      <c r="X5" s="488"/>
      <c r="Y5" s="488"/>
      <c r="Z5" s="488"/>
      <c r="AA5" s="488"/>
      <c r="AB5" s="488"/>
      <c r="AC5" s="488"/>
      <c r="AD5" s="488"/>
      <c r="AE5" s="488"/>
      <c r="AF5" s="488"/>
      <c r="AG5" s="488"/>
      <c r="AH5" s="488"/>
      <c r="AI5" s="488"/>
      <c r="AJ5" s="489"/>
      <c r="AK5" s="18"/>
      <c r="AL5" s="513"/>
      <c r="AM5" s="102">
        <f t="shared" si="0"/>
        <v>0.06</v>
      </c>
      <c r="AN5" s="103">
        <f t="shared" si="1"/>
        <v>0.52800000000000002</v>
      </c>
      <c r="AP5" s="104">
        <f t="shared" si="2"/>
        <v>0.06</v>
      </c>
      <c r="AQ5" s="105">
        <f t="shared" si="3"/>
        <v>1.7600000000000002</v>
      </c>
      <c r="AS5" s="92"/>
      <c r="AT5" s="92"/>
      <c r="AU5" s="92"/>
      <c r="AV5" s="92"/>
      <c r="AW5" s="89"/>
      <c r="BF5" s="76" t="s">
        <v>2</v>
      </c>
      <c r="BG5" s="76" t="s">
        <v>3</v>
      </c>
      <c r="BH5" s="76" t="s">
        <v>76</v>
      </c>
      <c r="BI5" s="76" t="s">
        <v>4</v>
      </c>
      <c r="BJ5" s="76" t="s">
        <v>5</v>
      </c>
      <c r="BK5" s="76" t="s">
        <v>6</v>
      </c>
      <c r="BN5" s="76">
        <f>C20+(K20-C20+1)*(X26/AH20)</f>
        <v>12.1</v>
      </c>
      <c r="BO5" s="76">
        <f>C20+(K20-C20+1)*(AF26/AH20)</f>
        <v>8.8000000000000007</v>
      </c>
      <c r="BP5" s="76">
        <f>C20+(K20-C20+1)*(AL27/AH20)</f>
        <v>6.5610066137294378</v>
      </c>
      <c r="BQ5" s="76">
        <v>1</v>
      </c>
      <c r="BR5" s="76">
        <v>1</v>
      </c>
      <c r="BS5" s="76">
        <v>1</v>
      </c>
      <c r="BT5" s="76" t="s">
        <v>19</v>
      </c>
      <c r="BW5" s="76" t="s">
        <v>106</v>
      </c>
      <c r="BX5" s="77" t="s">
        <v>75</v>
      </c>
      <c r="BY5" s="76" t="s">
        <v>105</v>
      </c>
      <c r="BZ5" s="76" t="s">
        <v>13</v>
      </c>
      <c r="CA5" s="78" t="s">
        <v>74</v>
      </c>
    </row>
    <row r="6" spans="2:79" ht="17.399999999999999" customHeight="1">
      <c r="B6" s="512"/>
      <c r="C6" s="503" t="s">
        <v>90</v>
      </c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  <c r="Z6" s="504"/>
      <c r="AA6" s="504"/>
      <c r="AB6" s="504"/>
      <c r="AC6" s="504"/>
      <c r="AD6" s="505"/>
      <c r="AE6" s="490"/>
      <c r="AF6" s="491"/>
      <c r="AG6" s="491"/>
      <c r="AH6" s="491"/>
      <c r="AI6" s="491"/>
      <c r="AJ6" s="492"/>
      <c r="AK6" s="18"/>
      <c r="AL6" s="513"/>
      <c r="AM6" s="102">
        <f t="shared" si="0"/>
        <v>0.08</v>
      </c>
      <c r="AN6" s="103">
        <f t="shared" si="1"/>
        <v>0.59399999999999997</v>
      </c>
      <c r="AP6" s="104">
        <f t="shared" si="2"/>
        <v>0.08</v>
      </c>
      <c r="AQ6" s="105">
        <f t="shared" si="3"/>
        <v>1.98</v>
      </c>
      <c r="AR6" s="19"/>
      <c r="AS6" s="92"/>
      <c r="AT6" s="92"/>
      <c r="AU6" s="92"/>
      <c r="AV6" s="92"/>
      <c r="AW6" s="89"/>
      <c r="BD6" s="76" t="s">
        <v>7</v>
      </c>
      <c r="BE6" s="76" t="s">
        <v>8</v>
      </c>
      <c r="BF6" s="76" t="s">
        <v>9</v>
      </c>
      <c r="BG6" s="76">
        <v>5</v>
      </c>
      <c r="BH6" s="76">
        <v>2.5</v>
      </c>
      <c r="BI6" s="76">
        <v>5</v>
      </c>
      <c r="BJ6" s="76">
        <v>50</v>
      </c>
      <c r="BK6" s="76" t="s">
        <v>10</v>
      </c>
      <c r="BL6" s="76" t="s">
        <v>11</v>
      </c>
      <c r="BM6" s="76">
        <f>0.08*(T24)^0.75</f>
        <v>0.44987306015227935</v>
      </c>
      <c r="BN6" s="76">
        <f>K20+1</f>
        <v>2.75</v>
      </c>
      <c r="BO6" s="76">
        <f>K20+1</f>
        <v>2.75</v>
      </c>
      <c r="BP6" s="76">
        <f>K20+1</f>
        <v>2.75</v>
      </c>
      <c r="BQ6" s="76">
        <f>(0.7*(X26-V20)/(4-V20))+1</f>
        <v>1.0636363636363637</v>
      </c>
      <c r="BR6" s="76">
        <f>(0.7*(AF26-V20)/(4-V20))+1</f>
        <v>1</v>
      </c>
      <c r="BS6" s="76">
        <f>(0.7*(AL27-V20)/(4-V20))+1</f>
        <v>0.95682381899753732</v>
      </c>
      <c r="BT6" s="76" t="s">
        <v>26</v>
      </c>
    </row>
    <row r="7" spans="2:79" ht="17.399999999999999" customHeight="1">
      <c r="B7" s="512"/>
      <c r="C7" s="611" t="s">
        <v>250</v>
      </c>
      <c r="D7" s="612"/>
      <c r="E7" s="612"/>
      <c r="F7" s="612"/>
      <c r="G7" s="612"/>
      <c r="H7" s="612"/>
      <c r="I7" s="612"/>
      <c r="J7" s="612"/>
      <c r="K7" s="612"/>
      <c r="L7" s="612"/>
      <c r="M7" s="612"/>
      <c r="N7" s="612"/>
      <c r="O7" s="612"/>
      <c r="P7" s="612"/>
      <c r="Q7" s="612"/>
      <c r="R7" s="612"/>
      <c r="S7" s="612"/>
      <c r="T7" s="612"/>
      <c r="U7" s="612"/>
      <c r="V7" s="612"/>
      <c r="W7" s="612"/>
      <c r="X7" s="612"/>
      <c r="Y7" s="612"/>
      <c r="Z7" s="612"/>
      <c r="AA7" s="612"/>
      <c r="AB7" s="612"/>
      <c r="AC7" s="612"/>
      <c r="AD7" s="613"/>
      <c r="AE7" s="490"/>
      <c r="AF7" s="491"/>
      <c r="AG7" s="491"/>
      <c r="AH7" s="491"/>
      <c r="AI7" s="491"/>
      <c r="AJ7" s="492"/>
      <c r="AK7" s="18"/>
      <c r="AL7" s="513"/>
      <c r="AM7" s="102">
        <f t="shared" si="0"/>
        <v>0.1</v>
      </c>
      <c r="AN7" s="103">
        <f>BW12</f>
        <v>0.66</v>
      </c>
      <c r="AP7" s="104">
        <f t="shared" si="2"/>
        <v>0.1</v>
      </c>
      <c r="AQ7" s="105">
        <f t="shared" si="3"/>
        <v>2.2000000000000002</v>
      </c>
      <c r="AR7" s="19"/>
      <c r="AS7" s="92"/>
      <c r="AT7" s="92"/>
      <c r="AU7" s="92"/>
      <c r="AV7" s="92"/>
      <c r="AW7" s="89"/>
      <c r="BD7" s="76" t="s">
        <v>14</v>
      </c>
      <c r="BE7" s="76" t="s">
        <v>15</v>
      </c>
      <c r="BF7" s="76" t="s">
        <v>16</v>
      </c>
      <c r="BG7" s="76">
        <v>4</v>
      </c>
      <c r="BH7" s="76">
        <v>2.5</v>
      </c>
      <c r="BI7" s="76">
        <v>4</v>
      </c>
      <c r="BJ7" s="76">
        <v>50</v>
      </c>
      <c r="BK7" s="76" t="s">
        <v>17</v>
      </c>
      <c r="BL7" s="76" t="s">
        <v>18</v>
      </c>
      <c r="BM7" s="76">
        <f>0.05*(T24)^0.9</f>
        <v>0.39716411736214091</v>
      </c>
      <c r="BN7" s="76">
        <f>(K20+1)*(V20/X26)</f>
        <v>1.9249999999999998</v>
      </c>
      <c r="BO7" s="76">
        <f>(K20+1)*(V20/AF26)</f>
        <v>2.75</v>
      </c>
      <c r="BP7" s="76">
        <f>(K20+1)*(V20/AL27)</f>
        <v>3.8774902683260333</v>
      </c>
      <c r="BQ7" s="76">
        <v>1.7</v>
      </c>
      <c r="BR7" s="76">
        <v>1.7</v>
      </c>
      <c r="BS7" s="76">
        <v>1.7</v>
      </c>
      <c r="BW7" s="77">
        <f t="shared" ref="BW7:BW70" si="4">C$18*BX7</f>
        <v>0.33</v>
      </c>
      <c r="BX7" s="77">
        <f>BZ7*BY7</f>
        <v>1.1000000000000001</v>
      </c>
      <c r="BY7" s="76">
        <f t="shared" ref="BY7:BY70" si="5">IF(AND(OR(T$16=BD$6,T$16=BD$7),OR(CA7&lt;_xlfn.NUMBERVALUE(V$20),CA7=_xlfn.NUMBERVALUE(V$20))),1,IF(AND(OR(T$16=BD$6,T$16=BD$7),CA7&gt;_xlfn.NUMBERVALUE(V$20),CA7&lt;4),((0.7*(CA7-V$20)/(4-V$20))+1),IF(AND(OR(T$16=BD$6,T$16=BD$7),OR(CA7&gt;4,CA7=4)),1.7,IF(AND(OR(T$16=BD$8,T$16=BD$9),OR(CA7&lt;_xlfn.NUMBERVALUE(V$20),CA7=_xlfn.NUMBERVALUE(V$20))),1,IF(AND(OR(T$16=BD$8,T$16=BD$9),CA7&gt;_xlfn.NUMBERVALUE(V$20),CA7&lt;4),((0.4*(CA7-V$20)/(4-V$20))+1),IF(AND(OR(T$16=BD$8,T$16=BD$9),OR(CA7&gt;4,CA7=4)),1.4,"Error"))))))</f>
        <v>1</v>
      </c>
      <c r="BZ7" s="76">
        <f t="shared" ref="BZ7:BZ70" si="6">IF(OR(CA7&lt;_xlfn.NUMBERVALUE(AH$20),CA7=_xlfn.NUMBERVALUE(AH$20)),(C$20+((K$20-C$20+1)*(CA7/AH$20))),IF(AND(CA7&gt;_xlfn.NUMBERVALUE(AH$20),CA7&lt;_xlfn.NUMBERVALUE(V$20)),(K$20+1),IF(OR(CA7&gt;_xlfn.NUMBERVALUE(V$20),CA7=_xlfn.NUMBERVALUE(V$20)),((K$20+1)*(V$20/CA7)),"Errot")))</f>
        <v>1.1000000000000001</v>
      </c>
      <c r="CA7" s="78">
        <v>0</v>
      </c>
    </row>
    <row r="8" spans="2:79" ht="17.399999999999999" customHeight="1">
      <c r="B8" s="20"/>
      <c r="C8" s="614"/>
      <c r="D8" s="615"/>
      <c r="E8" s="615"/>
      <c r="F8" s="615"/>
      <c r="G8" s="615"/>
      <c r="H8" s="615"/>
      <c r="I8" s="615"/>
      <c r="J8" s="615"/>
      <c r="K8" s="615"/>
      <c r="L8" s="615"/>
      <c r="M8" s="615"/>
      <c r="N8" s="615"/>
      <c r="O8" s="615"/>
      <c r="P8" s="615"/>
      <c r="Q8" s="615"/>
      <c r="R8" s="615"/>
      <c r="S8" s="615"/>
      <c r="T8" s="615"/>
      <c r="U8" s="615"/>
      <c r="V8" s="615"/>
      <c r="W8" s="615"/>
      <c r="X8" s="615"/>
      <c r="Y8" s="615"/>
      <c r="Z8" s="615"/>
      <c r="AA8" s="615"/>
      <c r="AB8" s="615"/>
      <c r="AC8" s="615"/>
      <c r="AD8" s="616"/>
      <c r="AE8" s="490"/>
      <c r="AF8" s="491"/>
      <c r="AG8" s="491"/>
      <c r="AH8" s="491"/>
      <c r="AI8" s="491"/>
      <c r="AJ8" s="492"/>
      <c r="AK8" s="18"/>
      <c r="AL8" s="79"/>
      <c r="AM8" s="102">
        <f t="shared" si="0"/>
        <v>0.12</v>
      </c>
      <c r="AN8" s="103">
        <f t="shared" si="1"/>
        <v>0.72599999999999998</v>
      </c>
      <c r="AP8" s="104">
        <f t="shared" si="2"/>
        <v>0.12</v>
      </c>
      <c r="AQ8" s="105">
        <f t="shared" si="3"/>
        <v>2.42</v>
      </c>
      <c r="AR8" s="21"/>
      <c r="AS8" s="88"/>
      <c r="AT8" s="88"/>
      <c r="AU8" s="88"/>
      <c r="AV8" s="88"/>
      <c r="AW8" s="89"/>
      <c r="BD8" s="76" t="s">
        <v>20</v>
      </c>
      <c r="BE8" s="76" t="s">
        <v>21</v>
      </c>
      <c r="BF8" s="76" t="s">
        <v>22</v>
      </c>
      <c r="BG8" s="76">
        <v>3.5</v>
      </c>
      <c r="BH8" s="76">
        <v>2.5</v>
      </c>
      <c r="BI8" s="76">
        <v>3.5</v>
      </c>
      <c r="BJ8" s="82" t="s">
        <v>23</v>
      </c>
      <c r="BK8" s="76" t="s">
        <v>24</v>
      </c>
      <c r="BL8" s="76" t="s">
        <v>25</v>
      </c>
      <c r="BM8" s="76">
        <f>0.8*0.08*(T24)^0.75</f>
        <v>0.35989844812182348</v>
      </c>
      <c r="BQ8" s="76">
        <v>1</v>
      </c>
      <c r="BR8" s="76">
        <v>1</v>
      </c>
      <c r="BS8" s="76">
        <v>1</v>
      </c>
      <c r="BW8" s="77">
        <f t="shared" si="4"/>
        <v>0.39600000000000002</v>
      </c>
      <c r="BX8" s="77">
        <f t="shared" ref="BX8:BX71" si="7">BZ8*BY8</f>
        <v>1.32</v>
      </c>
      <c r="BY8" s="76">
        <f t="shared" si="5"/>
        <v>1</v>
      </c>
      <c r="BZ8" s="76">
        <f t="shared" si="6"/>
        <v>1.32</v>
      </c>
      <c r="CA8" s="78">
        <v>0.02</v>
      </c>
    </row>
    <row r="9" spans="2:79" ht="17.399999999999999" customHeight="1" thickBot="1">
      <c r="B9" s="20"/>
      <c r="C9" s="609" t="s">
        <v>1</v>
      </c>
      <c r="D9" s="610"/>
      <c r="E9" s="610"/>
      <c r="F9" s="610"/>
      <c r="G9" s="610"/>
      <c r="H9" s="610"/>
      <c r="I9" s="610"/>
      <c r="J9" s="610"/>
      <c r="K9" s="610"/>
      <c r="L9" s="610"/>
      <c r="M9" s="610"/>
      <c r="N9" s="610"/>
      <c r="O9" s="506" t="s">
        <v>83</v>
      </c>
      <c r="P9" s="506"/>
      <c r="Q9" s="22"/>
      <c r="R9" s="22"/>
      <c r="S9" s="22"/>
      <c r="T9" s="22"/>
      <c r="U9" s="22"/>
      <c r="V9" s="632" t="s">
        <v>85</v>
      </c>
      <c r="W9" s="632"/>
      <c r="X9" s="632"/>
      <c r="Y9" s="632"/>
      <c r="Z9" s="632"/>
      <c r="AA9" s="631" t="s">
        <v>82</v>
      </c>
      <c r="AB9" s="631"/>
      <c r="AC9" s="22"/>
      <c r="AD9" s="22"/>
      <c r="AE9" s="633" t="s">
        <v>109</v>
      </c>
      <c r="AF9" s="634"/>
      <c r="AG9" s="634"/>
      <c r="AH9" s="634"/>
      <c r="AI9" s="634"/>
      <c r="AJ9" s="635"/>
      <c r="AK9" s="23"/>
      <c r="AL9" s="80"/>
      <c r="AM9" s="102">
        <f t="shared" si="0"/>
        <v>0.14000000000000001</v>
      </c>
      <c r="AN9" s="103">
        <f t="shared" si="1"/>
        <v>0.79200000000000004</v>
      </c>
      <c r="AP9" s="104">
        <f t="shared" si="2"/>
        <v>0.14000000000000001</v>
      </c>
      <c r="AQ9" s="105">
        <f t="shared" si="3"/>
        <v>2.64</v>
      </c>
      <c r="AR9" s="24"/>
      <c r="AS9" s="89"/>
      <c r="AT9" s="89"/>
      <c r="AU9" s="89"/>
      <c r="AV9" s="89"/>
      <c r="AW9" s="89"/>
      <c r="BD9" s="76" t="s">
        <v>27</v>
      </c>
      <c r="BE9" s="76" t="s">
        <v>28</v>
      </c>
      <c r="BF9" s="76" t="s">
        <v>29</v>
      </c>
      <c r="BG9" s="76">
        <v>3</v>
      </c>
      <c r="BH9" s="76">
        <v>2.5</v>
      </c>
      <c r="BI9" s="76">
        <v>3</v>
      </c>
      <c r="BJ9" s="76">
        <v>15</v>
      </c>
      <c r="BK9" s="76" t="s">
        <v>30</v>
      </c>
      <c r="BL9" s="76" t="s">
        <v>31</v>
      </c>
      <c r="BM9" s="76">
        <f>0.8*0.05*(T24)^0.9</f>
        <v>0.31773129388971277</v>
      </c>
      <c r="BQ9" s="76">
        <f>(0.4*(X26-V20)/(4-V20))+1</f>
        <v>1.0363636363636364</v>
      </c>
      <c r="BR9" s="76">
        <f>(0.4*(AF26-V20)/(4-V20))+1</f>
        <v>1</v>
      </c>
      <c r="BS9" s="76">
        <f>(0.4*(AL27-V20)/(4-V20))+1</f>
        <v>0.97532789657002139</v>
      </c>
      <c r="BW9" s="77">
        <f t="shared" si="4"/>
        <v>0.46199999999999997</v>
      </c>
      <c r="BX9" s="77">
        <f t="shared" si="7"/>
        <v>1.54</v>
      </c>
      <c r="BY9" s="76">
        <f t="shared" si="5"/>
        <v>1</v>
      </c>
      <c r="BZ9" s="76">
        <f t="shared" si="6"/>
        <v>1.54</v>
      </c>
      <c r="CA9" s="78">
        <v>0.04</v>
      </c>
    </row>
    <row r="10" spans="2:79" ht="15" customHeight="1" thickBot="1">
      <c r="B10" s="25"/>
      <c r="C10" s="26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8"/>
      <c r="AF10" s="28"/>
      <c r="AG10" s="28"/>
      <c r="AH10" s="28"/>
      <c r="AI10" s="28"/>
      <c r="AJ10" s="28"/>
      <c r="AK10" s="29"/>
      <c r="AL10" s="83"/>
      <c r="AM10" s="102">
        <f t="shared" si="0"/>
        <v>0.16</v>
      </c>
      <c r="AN10" s="103">
        <f t="shared" si="1"/>
        <v>0.82499999999999996</v>
      </c>
      <c r="AP10" s="104">
        <f t="shared" si="2"/>
        <v>0.16</v>
      </c>
      <c r="AQ10" s="105">
        <f t="shared" si="3"/>
        <v>2.75</v>
      </c>
      <c r="AR10" s="1"/>
      <c r="AS10" s="90"/>
      <c r="AT10" s="90"/>
      <c r="AU10" s="90"/>
      <c r="AV10" s="90"/>
      <c r="AW10" s="90"/>
      <c r="BF10" s="76" t="s">
        <v>32</v>
      </c>
      <c r="BG10" s="76">
        <v>4</v>
      </c>
      <c r="BH10" s="76">
        <v>2</v>
      </c>
      <c r="BI10" s="76">
        <v>3.5</v>
      </c>
      <c r="BJ10" s="76">
        <v>15</v>
      </c>
      <c r="BL10" s="76" t="s">
        <v>33</v>
      </c>
      <c r="BM10" s="76">
        <f>0.08*(T24)^0.75</f>
        <v>0.44987306015227935</v>
      </c>
      <c r="BQ10" s="76">
        <v>1.4</v>
      </c>
      <c r="BR10" s="76">
        <v>1.4</v>
      </c>
      <c r="BS10" s="76">
        <v>1.4</v>
      </c>
      <c r="BW10" s="77">
        <f t="shared" si="4"/>
        <v>0.52800000000000002</v>
      </c>
      <c r="BX10" s="77">
        <f t="shared" si="7"/>
        <v>1.7600000000000002</v>
      </c>
      <c r="BY10" s="76">
        <f t="shared" si="5"/>
        <v>1</v>
      </c>
      <c r="BZ10" s="76">
        <f t="shared" si="6"/>
        <v>1.7600000000000002</v>
      </c>
      <c r="CA10" s="78">
        <v>0.06</v>
      </c>
    </row>
    <row r="11" spans="2:79" ht="18.75" customHeight="1" thickBot="1">
      <c r="B11" s="130"/>
      <c r="AE11" s="106"/>
      <c r="AF11" s="106"/>
      <c r="AG11" s="106"/>
      <c r="AH11" s="106"/>
      <c r="AI11" s="106"/>
      <c r="AJ11" s="106"/>
      <c r="AK11" s="129"/>
      <c r="AL11" s="83"/>
      <c r="AM11" s="102">
        <f t="shared" si="0"/>
        <v>0.18</v>
      </c>
      <c r="AN11" s="103">
        <f t="shared" si="1"/>
        <v>0.82499999999999996</v>
      </c>
      <c r="AO11" s="100"/>
      <c r="AP11" s="104">
        <f t="shared" si="2"/>
        <v>0.18</v>
      </c>
      <c r="AQ11" s="105">
        <f t="shared" si="3"/>
        <v>2.75</v>
      </c>
      <c r="AR11" s="30"/>
      <c r="AS11" s="91"/>
      <c r="AT11" s="91"/>
      <c r="AU11" s="91"/>
      <c r="AV11" s="91"/>
      <c r="AW11" s="93"/>
      <c r="BF11" s="76" t="s">
        <v>34</v>
      </c>
      <c r="BG11" s="76">
        <v>5.5</v>
      </c>
      <c r="BH11" s="76">
        <v>3</v>
      </c>
      <c r="BI11" s="76">
        <v>4</v>
      </c>
      <c r="BJ11" s="76">
        <v>15</v>
      </c>
      <c r="BL11" s="76" t="s">
        <v>35</v>
      </c>
      <c r="BM11" s="76">
        <f>0.05*(T24)^0.75</f>
        <v>0.28117066259517459</v>
      </c>
      <c r="BW11" s="77">
        <f t="shared" si="4"/>
        <v>0.59399999999999997</v>
      </c>
      <c r="BX11" s="77">
        <f t="shared" si="7"/>
        <v>1.98</v>
      </c>
      <c r="BY11" s="76">
        <f t="shared" si="5"/>
        <v>1</v>
      </c>
      <c r="BZ11" s="76">
        <f t="shared" si="6"/>
        <v>1.98</v>
      </c>
      <c r="CA11" s="78">
        <v>0.08</v>
      </c>
    </row>
    <row r="12" spans="2:79" ht="15.75" customHeight="1">
      <c r="B12" s="617" t="s">
        <v>84</v>
      </c>
      <c r="C12" s="618"/>
      <c r="D12" s="618"/>
      <c r="E12" s="618"/>
      <c r="F12" s="618"/>
      <c r="G12" s="618"/>
      <c r="H12" s="618"/>
      <c r="I12" s="618"/>
      <c r="J12" s="618"/>
      <c r="K12" s="618"/>
      <c r="L12" s="618"/>
      <c r="M12" s="618"/>
      <c r="N12" s="618"/>
      <c r="O12" s="618"/>
      <c r="P12" s="618"/>
      <c r="Q12" s="618"/>
      <c r="R12" s="618"/>
      <c r="S12" s="618"/>
      <c r="T12" s="618"/>
      <c r="U12" s="618"/>
      <c r="V12" s="618"/>
      <c r="W12" s="618"/>
      <c r="X12" s="618"/>
      <c r="Y12" s="618"/>
      <c r="Z12" s="618"/>
      <c r="AA12" s="618"/>
      <c r="AB12" s="618"/>
      <c r="AC12" s="618"/>
      <c r="AD12" s="618"/>
      <c r="AE12" s="618"/>
      <c r="AF12" s="618"/>
      <c r="AG12" s="618"/>
      <c r="AH12" s="618"/>
      <c r="AI12" s="618"/>
      <c r="AJ12" s="618"/>
      <c r="AK12" s="619"/>
      <c r="AL12" s="83"/>
      <c r="AM12" s="102">
        <f t="shared" si="0"/>
        <v>0.2</v>
      </c>
      <c r="AN12" s="103">
        <f t="shared" si="1"/>
        <v>0.82499999999999996</v>
      </c>
      <c r="AP12" s="104">
        <f t="shared" si="2"/>
        <v>0.2</v>
      </c>
      <c r="AQ12" s="105">
        <f t="shared" si="3"/>
        <v>2.75</v>
      </c>
      <c r="AR12" s="30"/>
      <c r="AS12" s="91"/>
      <c r="AT12" s="91"/>
      <c r="AU12" s="91"/>
      <c r="AV12" s="91"/>
      <c r="BF12" s="76" t="s">
        <v>36</v>
      </c>
      <c r="BG12" s="76">
        <v>3</v>
      </c>
      <c r="BH12" s="76">
        <v>2</v>
      </c>
      <c r="BI12" s="76">
        <v>3</v>
      </c>
      <c r="BJ12" s="76">
        <v>10</v>
      </c>
      <c r="BW12" s="77">
        <f t="shared" si="4"/>
        <v>0.66</v>
      </c>
      <c r="BX12" s="77">
        <f t="shared" si="7"/>
        <v>2.2000000000000002</v>
      </c>
      <c r="BY12" s="76">
        <f t="shared" si="5"/>
        <v>1</v>
      </c>
      <c r="BZ12" s="76">
        <f t="shared" si="6"/>
        <v>2.2000000000000002</v>
      </c>
      <c r="CA12" s="78">
        <v>0.1</v>
      </c>
    </row>
    <row r="13" spans="2:79" ht="15" customHeight="1" thickBot="1">
      <c r="B13" s="620"/>
      <c r="C13" s="621"/>
      <c r="D13" s="621"/>
      <c r="E13" s="621"/>
      <c r="F13" s="621"/>
      <c r="G13" s="621"/>
      <c r="H13" s="621"/>
      <c r="I13" s="621"/>
      <c r="J13" s="621"/>
      <c r="K13" s="621"/>
      <c r="L13" s="621"/>
      <c r="M13" s="621"/>
      <c r="N13" s="621"/>
      <c r="O13" s="621"/>
      <c r="P13" s="621"/>
      <c r="Q13" s="621"/>
      <c r="R13" s="621"/>
      <c r="S13" s="621"/>
      <c r="T13" s="621"/>
      <c r="U13" s="621"/>
      <c r="V13" s="621"/>
      <c r="W13" s="621"/>
      <c r="X13" s="621"/>
      <c r="Y13" s="621"/>
      <c r="Z13" s="621"/>
      <c r="AA13" s="621"/>
      <c r="AB13" s="621"/>
      <c r="AC13" s="621"/>
      <c r="AD13" s="621"/>
      <c r="AE13" s="621"/>
      <c r="AF13" s="621"/>
      <c r="AG13" s="621"/>
      <c r="AH13" s="621"/>
      <c r="AI13" s="621"/>
      <c r="AJ13" s="621"/>
      <c r="AK13" s="622"/>
      <c r="AL13" s="83"/>
      <c r="AM13" s="102">
        <f t="shared" si="0"/>
        <v>0.22</v>
      </c>
      <c r="AN13" s="103">
        <f t="shared" si="1"/>
        <v>0.82499999999999996</v>
      </c>
      <c r="AP13" s="104">
        <f t="shared" si="2"/>
        <v>0.22</v>
      </c>
      <c r="AQ13" s="105">
        <f t="shared" si="3"/>
        <v>2.75</v>
      </c>
      <c r="AX13" s="514"/>
      <c r="AY13" s="514"/>
      <c r="AZ13" s="515"/>
      <c r="BA13" s="515"/>
      <c r="BF13" s="76" t="s">
        <v>37</v>
      </c>
      <c r="BG13" s="76">
        <v>6</v>
      </c>
      <c r="BH13" s="76">
        <v>2.5</v>
      </c>
      <c r="BI13" s="76">
        <v>5</v>
      </c>
      <c r="BJ13" s="76">
        <v>50</v>
      </c>
      <c r="BW13" s="77">
        <f t="shared" si="4"/>
        <v>0.72599999999999998</v>
      </c>
      <c r="BX13" s="77">
        <f t="shared" si="7"/>
        <v>2.42</v>
      </c>
      <c r="BY13" s="76">
        <f t="shared" si="5"/>
        <v>1</v>
      </c>
      <c r="BZ13" s="76">
        <f t="shared" si="6"/>
        <v>2.42</v>
      </c>
      <c r="CA13" s="78">
        <v>0.12</v>
      </c>
    </row>
    <row r="14" spans="2:79" ht="15" customHeight="1">
      <c r="B14" s="493" t="s">
        <v>86</v>
      </c>
      <c r="C14" s="494"/>
      <c r="D14" s="494"/>
      <c r="E14" s="494"/>
      <c r="F14" s="494"/>
      <c r="G14" s="494"/>
      <c r="H14" s="494"/>
      <c r="I14" s="494"/>
      <c r="J14" s="494"/>
      <c r="K14" s="494"/>
      <c r="L14" s="494"/>
      <c r="M14" s="494"/>
      <c r="N14" s="494"/>
      <c r="O14" s="494"/>
      <c r="P14" s="494"/>
      <c r="Q14" s="494"/>
      <c r="R14" s="494"/>
      <c r="S14" s="494"/>
      <c r="T14" s="494"/>
      <c r="U14" s="494"/>
      <c r="V14" s="494"/>
      <c r="W14" s="494"/>
      <c r="X14" s="494"/>
      <c r="Y14" s="494"/>
      <c r="Z14" s="501"/>
      <c r="AA14" s="501"/>
      <c r="AB14" s="497" t="s">
        <v>87</v>
      </c>
      <c r="AC14" s="497"/>
      <c r="AD14" s="497"/>
      <c r="AE14" s="497"/>
      <c r="AF14" s="497"/>
      <c r="AG14" s="497"/>
      <c r="AH14" s="497"/>
      <c r="AI14" s="497"/>
      <c r="AJ14" s="497"/>
      <c r="AK14" s="498"/>
      <c r="AL14" s="84"/>
      <c r="AM14" s="102">
        <f t="shared" si="0"/>
        <v>0.24</v>
      </c>
      <c r="AN14" s="103">
        <f t="shared" si="1"/>
        <v>0.82499999999999996</v>
      </c>
      <c r="AP14" s="104">
        <f t="shared" si="2"/>
        <v>0.24</v>
      </c>
      <c r="AQ14" s="105">
        <f t="shared" si="3"/>
        <v>2.75</v>
      </c>
      <c r="AX14" s="514"/>
      <c r="AY14" s="514"/>
      <c r="AZ14" s="515"/>
      <c r="BA14" s="515"/>
      <c r="BF14" s="76" t="s">
        <v>38</v>
      </c>
      <c r="BG14" s="76">
        <v>5</v>
      </c>
      <c r="BH14" s="76">
        <v>2.5</v>
      </c>
      <c r="BI14" s="76">
        <v>4</v>
      </c>
      <c r="BJ14" s="76">
        <v>35</v>
      </c>
      <c r="BW14" s="77">
        <f t="shared" si="4"/>
        <v>0.79200000000000004</v>
      </c>
      <c r="BX14" s="77">
        <f t="shared" si="7"/>
        <v>2.64</v>
      </c>
      <c r="BY14" s="76">
        <f t="shared" si="5"/>
        <v>1</v>
      </c>
      <c r="BZ14" s="76">
        <f t="shared" si="6"/>
        <v>2.64</v>
      </c>
      <c r="CA14" s="78">
        <v>0.14000000000000001</v>
      </c>
    </row>
    <row r="15" spans="2:79" ht="15" customHeight="1">
      <c r="B15" s="495"/>
      <c r="C15" s="496"/>
      <c r="D15" s="496"/>
      <c r="E15" s="496"/>
      <c r="F15" s="496"/>
      <c r="G15" s="496"/>
      <c r="H15" s="496"/>
      <c r="I15" s="496"/>
      <c r="J15" s="496"/>
      <c r="K15" s="496"/>
      <c r="L15" s="496"/>
      <c r="M15" s="496"/>
      <c r="N15" s="496"/>
      <c r="O15" s="496"/>
      <c r="P15" s="496"/>
      <c r="Q15" s="496"/>
      <c r="R15" s="496"/>
      <c r="S15" s="496"/>
      <c r="T15" s="496"/>
      <c r="U15" s="496"/>
      <c r="V15" s="496"/>
      <c r="W15" s="496"/>
      <c r="X15" s="496"/>
      <c r="Y15" s="496"/>
      <c r="Z15" s="502"/>
      <c r="AA15" s="502"/>
      <c r="AB15" s="499"/>
      <c r="AC15" s="499"/>
      <c r="AD15" s="499"/>
      <c r="AE15" s="499"/>
      <c r="AF15" s="499"/>
      <c r="AG15" s="499"/>
      <c r="AH15" s="499"/>
      <c r="AI15" s="499"/>
      <c r="AJ15" s="499"/>
      <c r="AK15" s="500"/>
      <c r="AL15" s="84"/>
      <c r="AM15" s="102">
        <f t="shared" si="0"/>
        <v>0.26</v>
      </c>
      <c r="AN15" s="103">
        <f t="shared" si="1"/>
        <v>0.82499999999999996</v>
      </c>
      <c r="AO15" s="101"/>
      <c r="AP15" s="104">
        <f t="shared" si="2"/>
        <v>0.26</v>
      </c>
      <c r="AQ15" s="105">
        <f t="shared" si="3"/>
        <v>2.75</v>
      </c>
      <c r="BF15" s="76" t="s">
        <v>39</v>
      </c>
      <c r="BG15" s="76">
        <v>4</v>
      </c>
      <c r="BH15" s="76">
        <v>2.5</v>
      </c>
      <c r="BI15" s="76">
        <v>3</v>
      </c>
      <c r="BJ15" s="76" t="s">
        <v>23</v>
      </c>
      <c r="BW15" s="77">
        <f t="shared" si="4"/>
        <v>0.82499999999999996</v>
      </c>
      <c r="BX15" s="77">
        <f t="shared" si="7"/>
        <v>2.75</v>
      </c>
      <c r="BY15" s="76">
        <f t="shared" si="5"/>
        <v>1</v>
      </c>
      <c r="BZ15" s="76">
        <f t="shared" si="6"/>
        <v>2.75</v>
      </c>
      <c r="CA15" s="78">
        <v>0.16</v>
      </c>
    </row>
    <row r="16" spans="2:79" ht="15" customHeight="1">
      <c r="B16" s="592">
        <v>1</v>
      </c>
      <c r="C16" s="598" t="s">
        <v>88</v>
      </c>
      <c r="D16" s="598"/>
      <c r="E16" s="598"/>
      <c r="F16" s="598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6" t="s">
        <v>14</v>
      </c>
      <c r="U16" s="596"/>
      <c r="V16" s="596"/>
      <c r="W16" s="596"/>
      <c r="X16" s="596"/>
      <c r="Y16" s="596"/>
      <c r="Z16" s="596"/>
      <c r="AA16" s="596"/>
      <c r="AB16" s="596"/>
      <c r="AC16" s="596"/>
      <c r="AD16" s="596"/>
      <c r="AE16" s="596"/>
      <c r="AF16" s="596"/>
      <c r="AG16" s="596"/>
      <c r="AH16" s="596"/>
      <c r="AI16" s="596"/>
      <c r="AJ16" s="596"/>
      <c r="AK16" s="597"/>
      <c r="AM16" s="102">
        <f t="shared" si="0"/>
        <v>0.28000000000000003</v>
      </c>
      <c r="AN16" s="103">
        <f t="shared" si="1"/>
        <v>0.82499999999999996</v>
      </c>
      <c r="AP16" s="104">
        <f t="shared" si="2"/>
        <v>0.28000000000000003</v>
      </c>
      <c r="AQ16" s="105">
        <f t="shared" si="3"/>
        <v>2.75</v>
      </c>
      <c r="AX16" s="523"/>
      <c r="AY16" s="523"/>
      <c r="AZ16" s="515"/>
      <c r="BA16" s="515"/>
      <c r="BF16" s="76" t="s">
        <v>40</v>
      </c>
      <c r="BG16" s="76">
        <v>3</v>
      </c>
      <c r="BH16" s="76">
        <v>2.5</v>
      </c>
      <c r="BI16" s="76">
        <v>2.5</v>
      </c>
      <c r="BJ16" s="76">
        <v>15</v>
      </c>
      <c r="BW16" s="77">
        <f t="shared" si="4"/>
        <v>0.82499999999999996</v>
      </c>
      <c r="BX16" s="77">
        <f t="shared" si="7"/>
        <v>2.75</v>
      </c>
      <c r="BY16" s="76">
        <f t="shared" si="5"/>
        <v>1</v>
      </c>
      <c r="BZ16" s="76">
        <f t="shared" si="6"/>
        <v>2.75</v>
      </c>
      <c r="CA16" s="78">
        <v>0.18</v>
      </c>
    </row>
    <row r="17" spans="2:79" ht="15" customHeight="1">
      <c r="B17" s="592"/>
      <c r="C17" s="598"/>
      <c r="D17" s="598"/>
      <c r="E17" s="598"/>
      <c r="F17" s="598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6"/>
      <c r="U17" s="596"/>
      <c r="V17" s="596"/>
      <c r="W17" s="596"/>
      <c r="X17" s="596"/>
      <c r="Y17" s="596"/>
      <c r="Z17" s="596"/>
      <c r="AA17" s="596"/>
      <c r="AB17" s="596"/>
      <c r="AC17" s="596"/>
      <c r="AD17" s="596"/>
      <c r="AE17" s="596"/>
      <c r="AF17" s="596"/>
      <c r="AG17" s="596"/>
      <c r="AH17" s="596"/>
      <c r="AI17" s="596"/>
      <c r="AJ17" s="596"/>
      <c r="AK17" s="597"/>
      <c r="AM17" s="102">
        <f t="shared" si="0"/>
        <v>0.3</v>
      </c>
      <c r="AN17" s="103">
        <f t="shared" si="1"/>
        <v>0.82499999999999996</v>
      </c>
      <c r="AP17" s="104">
        <f t="shared" si="2"/>
        <v>0.3</v>
      </c>
      <c r="AQ17" s="105">
        <f t="shared" si="3"/>
        <v>2.75</v>
      </c>
      <c r="BF17" s="76" t="s">
        <v>41</v>
      </c>
      <c r="BG17" s="76">
        <v>7</v>
      </c>
      <c r="BH17" s="76">
        <v>2</v>
      </c>
      <c r="BI17" s="76">
        <v>4</v>
      </c>
      <c r="BJ17" s="76">
        <v>50</v>
      </c>
      <c r="BW17" s="77">
        <f t="shared" si="4"/>
        <v>0.82499999999999996</v>
      </c>
      <c r="BX17" s="77">
        <f t="shared" si="7"/>
        <v>2.75</v>
      </c>
      <c r="BY17" s="76">
        <f t="shared" si="5"/>
        <v>1</v>
      </c>
      <c r="BZ17" s="76">
        <f t="shared" si="6"/>
        <v>2.75</v>
      </c>
      <c r="CA17" s="78">
        <v>0.2</v>
      </c>
    </row>
    <row r="18" spans="2:79" ht="15" customHeight="1">
      <c r="B18" s="592"/>
      <c r="C18" s="484" t="str">
        <f>IF((T16="پهنه با خطر نسبی خیلی زیاد"),"0.35",(IF((T16="پهنه با خطر نسبی زیاد"),"0.30",(IF(T16="پهنه با خطر نسبی متوسط","0.25",(IF(T16="پهنه با خطر نسبی کم","0.20","Error")))))))</f>
        <v>0.30</v>
      </c>
      <c r="D18" s="484"/>
      <c r="E18" s="484"/>
      <c r="F18" s="484"/>
      <c r="G18" s="484"/>
      <c r="H18" s="484"/>
      <c r="I18" s="484"/>
      <c r="J18" s="484"/>
      <c r="K18" s="484"/>
      <c r="L18" s="484"/>
      <c r="M18" s="484"/>
      <c r="N18" s="484"/>
      <c r="O18" s="484"/>
      <c r="P18" s="484"/>
      <c r="Q18" s="484"/>
      <c r="R18" s="484"/>
      <c r="S18" s="485"/>
      <c r="T18" s="481" t="s">
        <v>42</v>
      </c>
      <c r="U18" s="599"/>
      <c r="V18" s="599"/>
      <c r="W18" s="599"/>
      <c r="X18" s="599"/>
      <c r="Y18" s="599"/>
      <c r="Z18" s="599"/>
      <c r="AA18" s="599"/>
      <c r="AB18" s="599"/>
      <c r="AC18" s="599"/>
      <c r="AD18" s="599"/>
      <c r="AE18" s="599"/>
      <c r="AF18" s="599"/>
      <c r="AG18" s="599"/>
      <c r="AH18" s="599"/>
      <c r="AI18" s="599"/>
      <c r="AJ18" s="599"/>
      <c r="AK18" s="524"/>
      <c r="AM18" s="102">
        <f t="shared" si="0"/>
        <v>0.32</v>
      </c>
      <c r="AN18" s="103">
        <f t="shared" si="1"/>
        <v>0.82499999999999996</v>
      </c>
      <c r="AP18" s="104">
        <f t="shared" si="2"/>
        <v>0.32</v>
      </c>
      <c r="AQ18" s="105">
        <f t="shared" si="3"/>
        <v>2.75</v>
      </c>
      <c r="BF18" s="76" t="s">
        <v>43</v>
      </c>
      <c r="BG18" s="76">
        <v>7</v>
      </c>
      <c r="BH18" s="76">
        <v>2.5</v>
      </c>
      <c r="BI18" s="76">
        <v>5</v>
      </c>
      <c r="BJ18" s="76">
        <v>50</v>
      </c>
      <c r="BW18" s="77">
        <f t="shared" si="4"/>
        <v>0.82499999999999996</v>
      </c>
      <c r="BX18" s="77">
        <f t="shared" si="7"/>
        <v>2.75</v>
      </c>
      <c r="BY18" s="76">
        <f t="shared" si="5"/>
        <v>1</v>
      </c>
      <c r="BZ18" s="76">
        <f t="shared" si="6"/>
        <v>2.75</v>
      </c>
      <c r="CA18" s="78">
        <v>0.22</v>
      </c>
    </row>
    <row r="19" spans="2:79" ht="15" customHeight="1">
      <c r="B19" s="592">
        <v>2</v>
      </c>
      <c r="C19" s="486" t="s">
        <v>44</v>
      </c>
      <c r="D19" s="486"/>
      <c r="E19" s="486"/>
      <c r="F19" s="486"/>
      <c r="G19" s="486"/>
      <c r="H19" s="486"/>
      <c r="I19" s="486"/>
      <c r="J19" s="486"/>
      <c r="K19" s="486"/>
      <c r="L19" s="486"/>
      <c r="M19" s="486"/>
      <c r="N19" s="486"/>
      <c r="O19" s="486"/>
      <c r="P19" s="486"/>
      <c r="Q19" s="486"/>
      <c r="R19" s="486"/>
      <c r="S19" s="486"/>
      <c r="T19" s="600" t="s">
        <v>24</v>
      </c>
      <c r="U19" s="600"/>
      <c r="V19" s="600"/>
      <c r="W19" s="600"/>
      <c r="X19" s="600"/>
      <c r="Y19" s="600"/>
      <c r="Z19" s="600"/>
      <c r="AA19" s="600"/>
      <c r="AB19" s="600"/>
      <c r="AC19" s="600"/>
      <c r="AD19" s="600"/>
      <c r="AE19" s="600"/>
      <c r="AF19" s="600"/>
      <c r="AG19" s="600"/>
      <c r="AH19" s="600"/>
      <c r="AI19" s="600"/>
      <c r="AJ19" s="600"/>
      <c r="AK19" s="601"/>
      <c r="AM19" s="102">
        <f t="shared" si="0"/>
        <v>0.34</v>
      </c>
      <c r="AN19" s="103">
        <f t="shared" si="1"/>
        <v>0.82499999999999996</v>
      </c>
      <c r="AP19" s="104">
        <f t="shared" si="2"/>
        <v>0.34</v>
      </c>
      <c r="AQ19" s="105">
        <f t="shared" si="3"/>
        <v>2.75</v>
      </c>
      <c r="BF19" s="76" t="s">
        <v>45</v>
      </c>
      <c r="BG19" s="76">
        <v>3.5</v>
      </c>
      <c r="BH19" s="76">
        <v>2</v>
      </c>
      <c r="BI19" s="76">
        <v>3.5</v>
      </c>
      <c r="BJ19" s="76">
        <v>15</v>
      </c>
      <c r="BW19" s="77">
        <f t="shared" si="4"/>
        <v>0.82499999999999996</v>
      </c>
      <c r="BX19" s="77">
        <f t="shared" si="7"/>
        <v>2.75</v>
      </c>
      <c r="BY19" s="76">
        <f t="shared" si="5"/>
        <v>1</v>
      </c>
      <c r="BZ19" s="76">
        <f t="shared" si="6"/>
        <v>2.75</v>
      </c>
      <c r="CA19" s="78">
        <v>0.24</v>
      </c>
    </row>
    <row r="20" spans="2:79" ht="15" customHeight="1">
      <c r="B20" s="592"/>
      <c r="C20" s="484" t="str">
        <f>IF((T19=BK6),"1",(IF((T19=BK7),"1",(IF(T19=BK8,"1.1",(IF(AND(T19=BK9,T16=BD9),"1.3",IF(AND(T19=BK9,T16=BD8),"1.3",1.1))))))))</f>
        <v>1.1</v>
      </c>
      <c r="D20" s="485"/>
      <c r="E20" s="481" t="s">
        <v>46</v>
      </c>
      <c r="F20" s="482"/>
      <c r="G20" s="32"/>
      <c r="H20" s="32"/>
      <c r="I20" s="32"/>
      <c r="J20" s="32"/>
      <c r="K20" s="483" t="str">
        <f>IF((T19=BK6),"1.5",(IF((T19=BK7),"1.5",(IF(T19=BK8,"1.75",(IF(AND(T19=BK9,T16=BD9),"2.25",IF(AND(T19=BK9,T16=BD8),"2.25",1.75))))))))</f>
        <v>1.75</v>
      </c>
      <c r="L20" s="485"/>
      <c r="M20" s="481" t="s">
        <v>47</v>
      </c>
      <c r="N20" s="482"/>
      <c r="O20" s="483"/>
      <c r="P20" s="484"/>
      <c r="Q20" s="485"/>
      <c r="R20" s="481"/>
      <c r="S20" s="482"/>
      <c r="T20" s="33"/>
      <c r="U20" s="33"/>
      <c r="V20" s="483" t="str">
        <f>IF((T19=BK6),"0.4",(IF((T19=BK7),"0.5",(IF(T19=BK8,"0.7",(IF(T19=BK9,"1","Error")))))))</f>
        <v>0.7</v>
      </c>
      <c r="W20" s="485"/>
      <c r="X20" s="481" t="s">
        <v>48</v>
      </c>
      <c r="Y20" s="482"/>
      <c r="Z20" s="34"/>
      <c r="AA20" s="34"/>
      <c r="AB20" s="34"/>
      <c r="AC20" s="32"/>
      <c r="AD20" s="32"/>
      <c r="AE20" s="32"/>
      <c r="AF20" s="32"/>
      <c r="AG20" s="32"/>
      <c r="AH20" s="483" t="str">
        <f>IF((T19=BK6),"0.1",(IF((T19=BK7),"0.1",(IF(T19=BK8,"0.15",(IF(T19=BK9,"0.15","Error")))))))</f>
        <v>0.15</v>
      </c>
      <c r="AI20" s="485"/>
      <c r="AJ20" s="481" t="s">
        <v>49</v>
      </c>
      <c r="AK20" s="524"/>
      <c r="AM20" s="102">
        <f t="shared" si="0"/>
        <v>0.36</v>
      </c>
      <c r="AN20" s="103">
        <f t="shared" si="1"/>
        <v>0.82499999999999996</v>
      </c>
      <c r="AP20" s="104">
        <f t="shared" si="2"/>
        <v>0.36</v>
      </c>
      <c r="AQ20" s="105">
        <f t="shared" si="3"/>
        <v>2.75</v>
      </c>
      <c r="AR20" s="96"/>
      <c r="BF20" s="76" t="s">
        <v>50</v>
      </c>
      <c r="BG20" s="76">
        <v>5.5</v>
      </c>
      <c r="BH20" s="76">
        <v>2</v>
      </c>
      <c r="BI20" s="76">
        <v>5</v>
      </c>
      <c r="BJ20" s="76">
        <v>50</v>
      </c>
      <c r="BW20" s="77">
        <f t="shared" si="4"/>
        <v>0.82499999999999996</v>
      </c>
      <c r="BX20" s="77">
        <f t="shared" si="7"/>
        <v>2.75</v>
      </c>
      <c r="BY20" s="76">
        <f t="shared" si="5"/>
        <v>1</v>
      </c>
      <c r="BZ20" s="76">
        <f t="shared" si="6"/>
        <v>2.75</v>
      </c>
      <c r="CA20" s="78">
        <v>0.26</v>
      </c>
    </row>
    <row r="21" spans="2:79" ht="15" customHeight="1">
      <c r="B21" s="592">
        <v>3</v>
      </c>
      <c r="C21" s="486" t="s">
        <v>51</v>
      </c>
      <c r="D21" s="486"/>
      <c r="E21" s="486"/>
      <c r="F21" s="486"/>
      <c r="G21" s="486"/>
      <c r="H21" s="486"/>
      <c r="I21" s="486"/>
      <c r="J21" s="486"/>
      <c r="K21" s="486"/>
      <c r="L21" s="486"/>
      <c r="M21" s="486"/>
      <c r="N21" s="486"/>
      <c r="O21" s="486"/>
      <c r="P21" s="486"/>
      <c r="Q21" s="486"/>
      <c r="R21" s="486"/>
      <c r="S21" s="486"/>
      <c r="T21" s="596" t="s">
        <v>21</v>
      </c>
      <c r="U21" s="596"/>
      <c r="V21" s="596"/>
      <c r="W21" s="596"/>
      <c r="X21" s="596"/>
      <c r="Y21" s="596"/>
      <c r="Z21" s="596"/>
      <c r="AA21" s="596"/>
      <c r="AB21" s="596"/>
      <c r="AC21" s="596"/>
      <c r="AD21" s="596"/>
      <c r="AE21" s="596"/>
      <c r="AF21" s="596"/>
      <c r="AG21" s="596"/>
      <c r="AH21" s="596"/>
      <c r="AI21" s="596"/>
      <c r="AJ21" s="596"/>
      <c r="AK21" s="597"/>
      <c r="AM21" s="102">
        <f t="shared" si="0"/>
        <v>0.38</v>
      </c>
      <c r="AN21" s="103">
        <f t="shared" si="1"/>
        <v>0.82499999999999996</v>
      </c>
      <c r="AP21" s="104">
        <f t="shared" si="2"/>
        <v>0.38</v>
      </c>
      <c r="AQ21" s="105">
        <f t="shared" si="3"/>
        <v>2.75</v>
      </c>
      <c r="AR21" s="97"/>
      <c r="BF21" s="76" t="s">
        <v>52</v>
      </c>
      <c r="BG21" s="76">
        <v>7.5</v>
      </c>
      <c r="BH21" s="76">
        <v>3</v>
      </c>
      <c r="BI21" s="76">
        <v>5.5</v>
      </c>
      <c r="BJ21" s="76">
        <v>200</v>
      </c>
      <c r="BW21" s="77">
        <f t="shared" si="4"/>
        <v>0.82499999999999996</v>
      </c>
      <c r="BX21" s="77">
        <f t="shared" si="7"/>
        <v>2.75</v>
      </c>
      <c r="BY21" s="76">
        <f t="shared" si="5"/>
        <v>1</v>
      </c>
      <c r="BZ21" s="76">
        <f t="shared" si="6"/>
        <v>2.75</v>
      </c>
      <c r="CA21" s="78">
        <v>0.28000000000000003</v>
      </c>
    </row>
    <row r="22" spans="2:79" ht="15" customHeight="1">
      <c r="B22" s="592"/>
      <c r="C22" s="35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483" t="str">
        <f>IF((T21="گروه1- ساختمان های با اهمیت خیلی زیاد"),"1.4",(IF((T21="گروه2- ساختمان های با اهمیت زیاد"),"1.2",(IF(T21="گروه3- ساختمان های با اهمیت متوسط","1",(IF(T21="گروه4- ساختمان های با اهمیت کم","0.8","Error")))))))</f>
        <v>1</v>
      </c>
      <c r="R22" s="484"/>
      <c r="S22" s="485"/>
      <c r="T22" s="481" t="s">
        <v>53</v>
      </c>
      <c r="U22" s="48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133"/>
      <c r="AM22" s="102">
        <f t="shared" si="0"/>
        <v>0.4</v>
      </c>
      <c r="AN22" s="103">
        <f t="shared" si="1"/>
        <v>0.82499999999999996</v>
      </c>
      <c r="AP22" s="104">
        <f t="shared" si="2"/>
        <v>0.4</v>
      </c>
      <c r="AQ22" s="105">
        <f t="shared" si="3"/>
        <v>2.75</v>
      </c>
      <c r="AR22" s="97"/>
      <c r="BF22" s="76" t="s">
        <v>54</v>
      </c>
      <c r="BG22" s="76">
        <v>5</v>
      </c>
      <c r="BH22" s="76">
        <v>3</v>
      </c>
      <c r="BI22" s="76">
        <v>4.5</v>
      </c>
      <c r="BJ22" s="76">
        <v>35</v>
      </c>
      <c r="BW22" s="77">
        <f t="shared" si="4"/>
        <v>0.82499999999999996</v>
      </c>
      <c r="BX22" s="77">
        <f t="shared" si="7"/>
        <v>2.75</v>
      </c>
      <c r="BY22" s="76">
        <f t="shared" si="5"/>
        <v>1</v>
      </c>
      <c r="BZ22" s="76">
        <f t="shared" si="6"/>
        <v>2.75</v>
      </c>
      <c r="CA22" s="78">
        <v>0.3</v>
      </c>
    </row>
    <row r="23" spans="2:79" ht="15" customHeight="1">
      <c r="B23" s="132">
        <v>4</v>
      </c>
      <c r="C23" s="486" t="s">
        <v>55</v>
      </c>
      <c r="D23" s="486"/>
      <c r="E23" s="486"/>
      <c r="F23" s="486"/>
      <c r="G23" s="486"/>
      <c r="H23" s="486"/>
      <c r="I23" s="486"/>
      <c r="J23" s="486"/>
      <c r="K23" s="486"/>
      <c r="L23" s="486"/>
      <c r="M23" s="486"/>
      <c r="N23" s="486"/>
      <c r="O23" s="486"/>
      <c r="P23" s="486"/>
      <c r="Q23" s="486"/>
      <c r="R23" s="486"/>
      <c r="S23" s="486"/>
      <c r="T23" s="596" t="s">
        <v>18</v>
      </c>
      <c r="U23" s="596"/>
      <c r="V23" s="596"/>
      <c r="W23" s="596"/>
      <c r="X23" s="596"/>
      <c r="Y23" s="596"/>
      <c r="Z23" s="596"/>
      <c r="AA23" s="596"/>
      <c r="AB23" s="596"/>
      <c r="AC23" s="596"/>
      <c r="AD23" s="596"/>
      <c r="AE23" s="596"/>
      <c r="AF23" s="596"/>
      <c r="AG23" s="596"/>
      <c r="AH23" s="596"/>
      <c r="AI23" s="596"/>
      <c r="AJ23" s="596"/>
      <c r="AK23" s="597"/>
      <c r="AM23" s="102">
        <f t="shared" si="0"/>
        <v>0.42</v>
      </c>
      <c r="AN23" s="103">
        <f t="shared" si="1"/>
        <v>0.82499999999999996</v>
      </c>
      <c r="AP23" s="104">
        <f t="shared" si="2"/>
        <v>0.42</v>
      </c>
      <c r="AQ23" s="105">
        <f t="shared" si="3"/>
        <v>2.75</v>
      </c>
      <c r="AR23" s="97"/>
      <c r="BF23" s="76" t="s">
        <v>56</v>
      </c>
      <c r="BG23" s="76">
        <v>3</v>
      </c>
      <c r="BH23" s="76">
        <v>3</v>
      </c>
      <c r="BI23" s="76">
        <v>2.5</v>
      </c>
      <c r="BJ23" s="76" t="s">
        <v>23</v>
      </c>
      <c r="BW23" s="77">
        <f t="shared" si="4"/>
        <v>0.82499999999999996</v>
      </c>
      <c r="BX23" s="77">
        <f t="shared" si="7"/>
        <v>2.75</v>
      </c>
      <c r="BY23" s="76">
        <f t="shared" si="5"/>
        <v>1</v>
      </c>
      <c r="BZ23" s="76">
        <f t="shared" si="6"/>
        <v>2.75</v>
      </c>
      <c r="CA23" s="78">
        <v>0.32</v>
      </c>
    </row>
    <row r="24" spans="2:79" ht="15" customHeight="1">
      <c r="B24" s="132">
        <v>5</v>
      </c>
      <c r="C24" s="486" t="s">
        <v>57</v>
      </c>
      <c r="D24" s="486"/>
      <c r="E24" s="486"/>
      <c r="F24" s="486"/>
      <c r="G24" s="486"/>
      <c r="H24" s="486"/>
      <c r="I24" s="486"/>
      <c r="J24" s="486"/>
      <c r="K24" s="486"/>
      <c r="L24" s="486"/>
      <c r="M24" s="486"/>
      <c r="N24" s="486"/>
      <c r="O24" s="486"/>
      <c r="P24" s="486"/>
      <c r="Q24" s="486"/>
      <c r="R24" s="486"/>
      <c r="S24" s="486"/>
      <c r="T24" s="602">
        <v>10</v>
      </c>
      <c r="U24" s="602"/>
      <c r="V24" s="602"/>
      <c r="W24" s="602"/>
      <c r="X24" s="602"/>
      <c r="Y24" s="602"/>
      <c r="Z24" s="602"/>
      <c r="AA24" s="602"/>
      <c r="AB24" s="602"/>
      <c r="AC24" s="602"/>
      <c r="AD24" s="602"/>
      <c r="AE24" s="602"/>
      <c r="AF24" s="602"/>
      <c r="AG24" s="602"/>
      <c r="AH24" s="602"/>
      <c r="AI24" s="602"/>
      <c r="AJ24" s="602"/>
      <c r="AK24" s="603"/>
      <c r="AM24" s="102">
        <f t="shared" si="0"/>
        <v>0.44</v>
      </c>
      <c r="AN24" s="103">
        <f t="shared" si="1"/>
        <v>0.82499999999999996</v>
      </c>
      <c r="AP24" s="104">
        <f t="shared" si="2"/>
        <v>0.44</v>
      </c>
      <c r="AQ24" s="105">
        <f t="shared" si="3"/>
        <v>2.75</v>
      </c>
      <c r="AR24" s="97"/>
      <c r="AS24" s="94"/>
      <c r="AT24" s="94"/>
      <c r="AU24" s="94"/>
      <c r="AV24" s="94"/>
      <c r="AW24" s="94"/>
      <c r="BF24" s="76" t="s">
        <v>58</v>
      </c>
      <c r="BG24" s="76">
        <v>7.5</v>
      </c>
      <c r="BH24" s="76">
        <v>3</v>
      </c>
      <c r="BI24" s="76">
        <v>5.5</v>
      </c>
      <c r="BJ24" s="76">
        <v>200</v>
      </c>
      <c r="BW24" s="77">
        <f t="shared" si="4"/>
        <v>0.82499999999999996</v>
      </c>
      <c r="BX24" s="77">
        <f t="shared" si="7"/>
        <v>2.75</v>
      </c>
      <c r="BY24" s="76">
        <f t="shared" si="5"/>
        <v>1</v>
      </c>
      <c r="BZ24" s="76">
        <f t="shared" si="6"/>
        <v>2.75</v>
      </c>
      <c r="CA24" s="78">
        <v>0.34</v>
      </c>
    </row>
    <row r="25" spans="2:79" ht="15" customHeight="1">
      <c r="B25" s="593">
        <v>6</v>
      </c>
      <c r="C25" s="486" t="s">
        <v>59</v>
      </c>
      <c r="D25" s="486"/>
      <c r="E25" s="486"/>
      <c r="F25" s="486"/>
      <c r="G25" s="486"/>
      <c r="H25" s="486"/>
      <c r="I25" s="486"/>
      <c r="J25" s="486"/>
      <c r="K25" s="486"/>
      <c r="L25" s="486"/>
      <c r="M25" s="486"/>
      <c r="N25" s="486"/>
      <c r="O25" s="486"/>
      <c r="P25" s="486"/>
      <c r="Q25" s="486"/>
      <c r="R25" s="486"/>
      <c r="S25" s="486"/>
      <c r="T25" s="596" t="s">
        <v>19</v>
      </c>
      <c r="U25" s="596"/>
      <c r="V25" s="596"/>
      <c r="W25" s="596"/>
      <c r="X25" s="596"/>
      <c r="Y25" s="596"/>
      <c r="Z25" s="596"/>
      <c r="AA25" s="596"/>
      <c r="AB25" s="596"/>
      <c r="AC25" s="596"/>
      <c r="AD25" s="596"/>
      <c r="AE25" s="596"/>
      <c r="AF25" s="596"/>
      <c r="AG25" s="596"/>
      <c r="AH25" s="596"/>
      <c r="AI25" s="596"/>
      <c r="AJ25" s="596"/>
      <c r="AK25" s="597"/>
      <c r="AM25" s="102">
        <f t="shared" si="0"/>
        <v>0.46</v>
      </c>
      <c r="AN25" s="103">
        <f t="shared" si="1"/>
        <v>0.82499999999999996</v>
      </c>
      <c r="AP25" s="104">
        <f t="shared" si="2"/>
        <v>0.46</v>
      </c>
      <c r="AQ25" s="105">
        <f t="shared" si="3"/>
        <v>2.75</v>
      </c>
      <c r="AR25" s="97"/>
      <c r="BF25" s="76" t="s">
        <v>60</v>
      </c>
      <c r="BG25" s="76">
        <v>5</v>
      </c>
      <c r="BH25" s="76">
        <v>3</v>
      </c>
      <c r="BI25" s="76">
        <v>4</v>
      </c>
      <c r="BJ25" s="76">
        <v>50</v>
      </c>
      <c r="BW25" s="77">
        <f t="shared" si="4"/>
        <v>0.82499999999999996</v>
      </c>
      <c r="BX25" s="77">
        <f t="shared" si="7"/>
        <v>2.75</v>
      </c>
      <c r="BY25" s="76">
        <f t="shared" si="5"/>
        <v>1</v>
      </c>
      <c r="BZ25" s="76">
        <f t="shared" si="6"/>
        <v>2.75</v>
      </c>
      <c r="CA25" s="78">
        <v>0.36</v>
      </c>
    </row>
    <row r="26" spans="2:79" ht="15" customHeight="1">
      <c r="B26" s="594"/>
      <c r="C26" s="486" t="s">
        <v>95</v>
      </c>
      <c r="D26" s="486"/>
      <c r="E26" s="486"/>
      <c r="F26" s="486"/>
      <c r="G26" s="486"/>
      <c r="H26" s="486"/>
      <c r="I26" s="486"/>
      <c r="J26" s="486"/>
      <c r="K26" s="486"/>
      <c r="L26" s="486"/>
      <c r="M26" s="486"/>
      <c r="N26" s="486"/>
      <c r="O26" s="486"/>
      <c r="P26" s="486"/>
      <c r="Q26" s="486"/>
      <c r="R26" s="486"/>
      <c r="S26" s="486"/>
      <c r="T26" s="36"/>
      <c r="U26" s="36"/>
      <c r="V26" s="36"/>
      <c r="W26" s="36"/>
      <c r="X26" s="478">
        <v>1</v>
      </c>
      <c r="Y26" s="478"/>
      <c r="Z26" s="478"/>
      <c r="AA26" s="36"/>
      <c r="AB26" s="36"/>
      <c r="AC26" s="36"/>
      <c r="AD26" s="36"/>
      <c r="AE26" s="36"/>
      <c r="AF26" s="478">
        <v>0.7</v>
      </c>
      <c r="AG26" s="478"/>
      <c r="AH26" s="478"/>
      <c r="AI26" s="36"/>
      <c r="AJ26" s="36"/>
      <c r="AK26" s="134"/>
      <c r="AM26" s="102">
        <f t="shared" si="0"/>
        <v>0.48</v>
      </c>
      <c r="AN26" s="103">
        <f t="shared" si="1"/>
        <v>0.82499999999999996</v>
      </c>
      <c r="AP26" s="104">
        <f t="shared" si="2"/>
        <v>0.48</v>
      </c>
      <c r="AQ26" s="105">
        <f t="shared" si="3"/>
        <v>2.75</v>
      </c>
      <c r="AR26" s="97"/>
      <c r="BF26" s="76" t="s">
        <v>61</v>
      </c>
      <c r="BG26" s="76">
        <v>3.5</v>
      </c>
      <c r="BH26" s="76">
        <v>3</v>
      </c>
      <c r="BI26" s="76">
        <v>3</v>
      </c>
      <c r="BJ26" s="76" t="s">
        <v>23</v>
      </c>
      <c r="BW26" s="77">
        <f t="shared" si="4"/>
        <v>0.82499999999999996</v>
      </c>
      <c r="BX26" s="77">
        <f t="shared" si="7"/>
        <v>2.75</v>
      </c>
      <c r="BY26" s="76">
        <f t="shared" si="5"/>
        <v>1</v>
      </c>
      <c r="BZ26" s="76">
        <f t="shared" si="6"/>
        <v>2.75</v>
      </c>
      <c r="CA26" s="78">
        <v>0.38</v>
      </c>
    </row>
    <row r="27" spans="2:79" ht="15" customHeight="1">
      <c r="B27" s="595"/>
      <c r="C27" s="31"/>
      <c r="D27" s="33"/>
      <c r="E27" s="483" t="str">
        <f>IF(T25=BT6,AF26," ")</f>
        <v xml:space="preserve"> </v>
      </c>
      <c r="F27" s="485"/>
      <c r="G27" s="606" t="str">
        <f>IF(T25=BT6,"Tدینامیکی = "," ")</f>
        <v xml:space="preserve"> </v>
      </c>
      <c r="H27" s="607"/>
      <c r="I27" s="607"/>
      <c r="J27" s="608"/>
      <c r="K27" s="37"/>
      <c r="L27" s="33"/>
      <c r="M27" s="33"/>
      <c r="N27" s="38"/>
      <c r="O27" s="525">
        <f>IF(T25=BT4," ",IF(T25=BT5,1.25*AF27,IF(T25=BT6,1.25*AF27,"Error")))</f>
        <v>0.49645514670267615</v>
      </c>
      <c r="P27" s="526"/>
      <c r="Q27" s="527"/>
      <c r="R27" s="509" t="str">
        <f>IF(T25=BT4," ",IF(T25=BT5,"1.25Tتجربی = ",IF(T25=BT6,"1.25Tتجربی = ","Error")))</f>
        <v xml:space="preserve">1.25Tتجربی = </v>
      </c>
      <c r="S27" s="510"/>
      <c r="T27" s="510"/>
      <c r="U27" s="510"/>
      <c r="V27" s="511"/>
      <c r="W27" s="39"/>
      <c r="X27" s="33"/>
      <c r="Y27" s="33"/>
      <c r="Z27" s="33"/>
      <c r="AA27" s="33"/>
      <c r="AB27" s="33"/>
      <c r="AC27" s="33"/>
      <c r="AD27" s="33"/>
      <c r="AE27" s="33"/>
      <c r="AF27" s="525">
        <f>IF((T23=BL6),BM6,(IF((T23=BL7),BM7,(IF(T23=BL8,BM8,(IF(T23=BL9,BM9,(IF(T23=BL10,BM10,(IF(T23=BL11,BM11,"Error")))))))))))</f>
        <v>0.39716411736214091</v>
      </c>
      <c r="AG27" s="527"/>
      <c r="AH27" s="604" t="s">
        <v>80</v>
      </c>
      <c r="AI27" s="604"/>
      <c r="AJ27" s="604"/>
      <c r="AK27" s="605"/>
      <c r="AL27" s="131">
        <f>IF(T25=BT4,AF27,IF(T25=BT5,O27,"Error"))</f>
        <v>0.49645514670267615</v>
      </c>
      <c r="AM27" s="102">
        <f t="shared" si="0"/>
        <v>0.5</v>
      </c>
      <c r="AN27" s="103">
        <f t="shared" si="1"/>
        <v>0.82499999999999996</v>
      </c>
      <c r="AP27" s="104">
        <f t="shared" si="2"/>
        <v>0.5</v>
      </c>
      <c r="AQ27" s="105">
        <f t="shared" si="3"/>
        <v>2.75</v>
      </c>
      <c r="AR27" s="97"/>
      <c r="AZ27" s="528"/>
      <c r="BA27" s="528"/>
      <c r="BF27" s="76" t="s">
        <v>62</v>
      </c>
      <c r="BG27" s="76">
        <v>7.5</v>
      </c>
      <c r="BH27" s="76">
        <v>2.5</v>
      </c>
      <c r="BI27" s="76">
        <v>5.5</v>
      </c>
      <c r="BJ27" s="76">
        <v>200</v>
      </c>
      <c r="BW27" s="77">
        <f t="shared" si="4"/>
        <v>0.82499999999999996</v>
      </c>
      <c r="BX27" s="77">
        <f t="shared" si="7"/>
        <v>2.75</v>
      </c>
      <c r="BY27" s="76">
        <f t="shared" si="5"/>
        <v>1</v>
      </c>
      <c r="BZ27" s="76">
        <f t="shared" si="6"/>
        <v>2.75</v>
      </c>
      <c r="CA27" s="78">
        <v>0.4</v>
      </c>
    </row>
    <row r="28" spans="2:79" ht="15" customHeight="1">
      <c r="B28" s="132">
        <v>7</v>
      </c>
      <c r="C28" s="486" t="s">
        <v>64</v>
      </c>
      <c r="D28" s="486"/>
      <c r="E28" s="486"/>
      <c r="F28" s="486"/>
      <c r="G28" s="486"/>
      <c r="H28" s="486"/>
      <c r="I28" s="486"/>
      <c r="J28" s="486"/>
      <c r="K28" s="486"/>
      <c r="L28" s="486"/>
      <c r="M28" s="486"/>
      <c r="N28" s="486"/>
      <c r="O28" s="486"/>
      <c r="P28" s="486"/>
      <c r="Q28" s="486"/>
      <c r="R28" s="486"/>
      <c r="S28" s="486"/>
      <c r="T28" s="596" t="s">
        <v>54</v>
      </c>
      <c r="U28" s="596"/>
      <c r="V28" s="596"/>
      <c r="W28" s="596"/>
      <c r="X28" s="596"/>
      <c r="Y28" s="596"/>
      <c r="Z28" s="596"/>
      <c r="AA28" s="596"/>
      <c r="AB28" s="596"/>
      <c r="AC28" s="596"/>
      <c r="AD28" s="596"/>
      <c r="AE28" s="596"/>
      <c r="AF28" s="596"/>
      <c r="AG28" s="596"/>
      <c r="AH28" s="596"/>
      <c r="AI28" s="596"/>
      <c r="AJ28" s="596"/>
      <c r="AK28" s="597"/>
      <c r="AM28" s="102">
        <f t="shared" si="0"/>
        <v>0.52</v>
      </c>
      <c r="AN28" s="103">
        <f t="shared" si="1"/>
        <v>0.82499999999999996</v>
      </c>
      <c r="AP28" s="104">
        <f t="shared" si="2"/>
        <v>0.52</v>
      </c>
      <c r="AQ28" s="105">
        <f t="shared" si="3"/>
        <v>2.75</v>
      </c>
      <c r="AR28" s="97"/>
      <c r="AS28" s="89"/>
      <c r="AT28" s="89"/>
      <c r="AU28" s="89"/>
      <c r="AV28" s="89"/>
      <c r="AX28" s="89"/>
      <c r="AZ28" s="95"/>
      <c r="BA28" s="95"/>
      <c r="BF28" s="76" t="s">
        <v>63</v>
      </c>
      <c r="BG28" s="76">
        <v>6.5</v>
      </c>
      <c r="BH28" s="76">
        <v>2.5</v>
      </c>
      <c r="BI28" s="76">
        <v>5</v>
      </c>
      <c r="BJ28" s="76">
        <v>70</v>
      </c>
      <c r="BW28" s="77">
        <f t="shared" si="4"/>
        <v>0.82499999999999996</v>
      </c>
      <c r="BX28" s="77">
        <f t="shared" si="7"/>
        <v>2.75</v>
      </c>
      <c r="BY28" s="76">
        <f t="shared" si="5"/>
        <v>1</v>
      </c>
      <c r="BZ28" s="76">
        <f t="shared" si="6"/>
        <v>2.75</v>
      </c>
      <c r="CA28" s="78">
        <v>0.42</v>
      </c>
    </row>
    <row r="29" spans="2:79" ht="24.6" customHeight="1">
      <c r="B29" s="132">
        <v>8</v>
      </c>
      <c r="C29" s="516" t="str">
        <f>IF(T28=BF36,"** با توجه آیین نامه 2800 مقادیر خواسته شده در زیر را وارد کنید**","")</f>
        <v/>
      </c>
      <c r="D29" s="516"/>
      <c r="E29" s="516"/>
      <c r="F29" s="516"/>
      <c r="G29" s="516"/>
      <c r="H29" s="516"/>
      <c r="I29" s="516"/>
      <c r="J29" s="516"/>
      <c r="K29" s="516"/>
      <c r="L29" s="516"/>
      <c r="M29" s="516"/>
      <c r="N29" s="516"/>
      <c r="O29" s="516"/>
      <c r="P29" s="516"/>
      <c r="Q29" s="516"/>
      <c r="R29" s="516"/>
      <c r="S29" s="516"/>
      <c r="T29" s="516"/>
      <c r="U29" s="516"/>
      <c r="V29" s="516"/>
      <c r="W29" s="516"/>
      <c r="X29" s="516"/>
      <c r="Y29" s="516"/>
      <c r="Z29" s="516"/>
      <c r="AA29" s="516"/>
      <c r="AB29" s="516"/>
      <c r="AC29" s="516"/>
      <c r="AD29" s="516"/>
      <c r="AE29" s="516"/>
      <c r="AF29" s="516"/>
      <c r="AG29" s="516"/>
      <c r="AH29" s="516"/>
      <c r="AI29" s="516"/>
      <c r="AJ29" s="516"/>
      <c r="AK29" s="517"/>
      <c r="AM29" s="102">
        <f t="shared" si="0"/>
        <v>0.54</v>
      </c>
      <c r="AN29" s="103">
        <f t="shared" si="1"/>
        <v>0.82499999999999996</v>
      </c>
      <c r="AP29" s="104">
        <f t="shared" si="2"/>
        <v>0.54</v>
      </c>
      <c r="AQ29" s="105">
        <f t="shared" si="3"/>
        <v>2.75</v>
      </c>
      <c r="AR29" s="97"/>
      <c r="AZ29" s="95"/>
      <c r="BA29" s="95"/>
      <c r="BF29" s="76" t="s">
        <v>65</v>
      </c>
      <c r="BG29" s="76">
        <v>6</v>
      </c>
      <c r="BH29" s="76">
        <v>2.5</v>
      </c>
      <c r="BI29" s="76">
        <v>4.5</v>
      </c>
      <c r="BJ29" s="76">
        <v>50</v>
      </c>
      <c r="BW29" s="77">
        <f t="shared" si="4"/>
        <v>0.82499999999999996</v>
      </c>
      <c r="BX29" s="77">
        <f t="shared" si="7"/>
        <v>2.75</v>
      </c>
      <c r="BY29" s="76">
        <f t="shared" si="5"/>
        <v>1</v>
      </c>
      <c r="BZ29" s="76">
        <f t="shared" si="6"/>
        <v>2.75</v>
      </c>
      <c r="CA29" s="78">
        <v>0.44</v>
      </c>
    </row>
    <row r="30" spans="2:79" ht="18" customHeight="1">
      <c r="B30" s="132">
        <v>10</v>
      </c>
      <c r="C30" s="522"/>
      <c r="D30" s="521"/>
      <c r="E30" s="483">
        <f>IF(T28=BF6,BJ6,IF(T28=BF7,BJ7,IF(T28=BF8,BJ8,IF(T28=BF9,BJ9,IF(T28=BF10,BJ10,IF(T28=BF11,BJ11,IF(T28=BF12,BJ12,IF(T28=BF13,BJ13,IF(T28=BF14,BJ14,IF(T28=BF15,BJ15,IF(T28=BF16,BJ16,IF(T28=BF17,BJ17,IF(T28=BF18,BJ18,IF(T28=BF19,BJ19,IF(T28=BF20,BJ20,IF(T28=BF21,BJ21,IF(T28=BF22,BJ22,IF(T28=BF23,BJ23,IF(T28=BF24,BJ24,IF(T28=BF25,BJ25,IF(T28=BF26,BJ26,IF(T28=BF27,BJ27,IF(T28=BF28,BJ28,IF(T28=BF29,BJ29,IF(T28=BF30,BJ30,IF(T28=BF31,BJ31,IF(T28=BF32,BJ32,IF(T28=BF33,BJ33,IF(T28=BF34,BJ34,IF(T28=BF35,BJ35,IF(T28=BF36,"===&gt;","Error")))))))))))))))))))))))))))))))</f>
        <v>35</v>
      </c>
      <c r="F30" s="485"/>
      <c r="G30" s="481" t="s">
        <v>81</v>
      </c>
      <c r="H30" s="482"/>
      <c r="I30" s="34"/>
      <c r="J30" s="520"/>
      <c r="K30" s="521"/>
      <c r="L30" s="483">
        <f>IF(T28=BF6,BI6,IF(T28=BF7,BI7,IF(T28=BF8,BI8,IF(T28=BF9,BI9,IF(T28=BF10,BI10,IF(T28=BF11,BI11,IF(T28=BF12,BI12,IF(T28=BF13,BI13,IF(T28=BF14,BI14,IF(T28=BF15,BI15,IF(T28=BF16,BI16,IF(T28=BF17,BI17,IF(T28=BF18,BI18,IF(T28=BF19,BI19,IF(T28=BF20,BI20,IF(T28=BF21,BI21,IF(T28=BF22,BI22,IF(T28=BF23,BI23,IF(T28=BF24,BI24,IF(T28=BF25,BI25,IF(T28=BF26,BI26,IF(T28=BF27,BI27,IF(T28=BF28,BI28,IF(T28=BF29,BI29,IF(T28=BF30,BI30,IF(T28=BF31,BI31,IF(T28=BF32,BI32,IF(T28=BF33,BI33,IF(T28=BF34,BI34,IF(T28=BF35,BI35,IF(T28=BF36,"===&gt;","Error")))))))))))))))))))))))))))))))</f>
        <v>4.5</v>
      </c>
      <c r="M30" s="485"/>
      <c r="N30" s="481" t="s">
        <v>66</v>
      </c>
      <c r="O30" s="482"/>
      <c r="P30" s="33"/>
      <c r="Q30" s="32"/>
      <c r="R30" s="481"/>
      <c r="S30" s="482"/>
      <c r="T30" s="518"/>
      <c r="U30" s="519"/>
      <c r="V30" s="483">
        <f>IF(T28=BF6,BH6,IF(T28=BF7,BH7,IF(T28=BF8,BH8,IF(T28=BF9,BH9,IF(T28=BF10,BH10,IF(T28=BF11,BH11,IF(T28=BF12,BH12,IF(T28=BF13,BH13,IF(T28=BF14,BH14,IF(T28=BF15,BH15,IF(T28=BF16,BH16,IF(T28=BF17,BH17,IF(T28=BF18,BH18,IF(T28=BF19,BH19,IF(T28=BF20,BH20,IF(T28=BF21,BH21,IF(T28=BF22,BH22,IF(T28=BF23,BH23,IF(T28=BF24,BH24,IF(T28=BF25,BH25,IF(T28=BF26,BH26,IF(T28=BF27,BH27,IF(T28=BF28,BH28,IF(T28=BF29,BH29,IF(T28=BF30,BH30,IF(T28=BF31,BH31,IF(T28=BF32,BH32,IF(T28=BF33,BH33,IF(T28=BF34,BH34,IF(T28=BF35,BH35,IF(T28=BF36,"===&gt;","Error")))))))))))))))))))))))))))))))</f>
        <v>3</v>
      </c>
      <c r="W30" s="485"/>
      <c r="X30" s="481" t="s">
        <v>78</v>
      </c>
      <c r="Y30" s="482"/>
      <c r="Z30" s="34"/>
      <c r="AA30" s="34"/>
      <c r="AB30" s="34"/>
      <c r="AC30" s="33"/>
      <c r="AD30" s="33"/>
      <c r="AE30" s="33"/>
      <c r="AF30" s="518"/>
      <c r="AG30" s="519"/>
      <c r="AH30" s="483">
        <f>IF(T28=BF6,5,IF(T28=BF7,4,IF(T28=BF8,3.5,IF(T28=BF9,3,IF(T28=BF10,4,IF(T28=BF11,5.5,IF(T28=BF12,3,IF(T28=BF13,6,IF(T28=BF14,5,IF(T28=BF15,4,IF(T28=BF16,3,IF(T28=BF17,7,IF(T28=BF18,7,IF(T28=BF19,3.5,IF(T28=BF20,5.5,IF(T28=BF21,7.5,IF(T28=BF22,5,IF(T28=BF23,3,IF(T28=BF24,7.5,IF(T28=BF25,5,IF(T28=BF26,3.5,IF(T28=BF27,7.5,IF(T28=BF28,6.5,IF(T28=BF29,6,IF(T28=BF30,6,IF(T28=BF31,7.5,IF(T28=BF32,6,IF(T28=BF33,7,IF(T28=BF34,6,IF(T28=BF35,2,IF(T28=BF36,"===&gt;","Error")))))))))))))))))))))))))))))))</f>
        <v>5</v>
      </c>
      <c r="AI30" s="485"/>
      <c r="AJ30" s="481" t="s">
        <v>79</v>
      </c>
      <c r="AK30" s="524"/>
      <c r="AM30" s="102">
        <f t="shared" si="0"/>
        <v>0.56000000000000005</v>
      </c>
      <c r="AN30" s="103">
        <f t="shared" si="1"/>
        <v>0.82499999999999996</v>
      </c>
      <c r="AP30" s="104">
        <f t="shared" si="2"/>
        <v>0.56000000000000005</v>
      </c>
      <c r="AQ30" s="105">
        <f t="shared" si="3"/>
        <v>2.75</v>
      </c>
      <c r="AR30" s="97"/>
      <c r="AZ30" s="95"/>
      <c r="BA30" s="95"/>
      <c r="BF30" s="76" t="s">
        <v>67</v>
      </c>
      <c r="BG30" s="76">
        <v>6</v>
      </c>
      <c r="BH30" s="76">
        <v>2.5</v>
      </c>
      <c r="BI30" s="76">
        <v>4.5</v>
      </c>
      <c r="BJ30" s="76">
        <v>50</v>
      </c>
      <c r="BW30" s="77">
        <f t="shared" si="4"/>
        <v>0.82499999999999996</v>
      </c>
      <c r="BX30" s="77">
        <f t="shared" si="7"/>
        <v>2.75</v>
      </c>
      <c r="BY30" s="76">
        <f t="shared" si="5"/>
        <v>1</v>
      </c>
      <c r="BZ30" s="76">
        <f t="shared" si="6"/>
        <v>2.75</v>
      </c>
      <c r="CA30" s="78">
        <v>0.46</v>
      </c>
    </row>
    <row r="31" spans="2:79" ht="16.8" customHeight="1" thickBot="1">
      <c r="B31" s="135">
        <v>11</v>
      </c>
      <c r="C31" s="40"/>
      <c r="D31" s="41"/>
      <c r="E31" s="576" t="str">
        <f>IF(T24&lt;(AL31+1)," ","ارتفاع سازه با توجه به سیستم سازه ای مقاوم در برابر نیروهای جانبی مجاز نمی باشد.")</f>
        <v xml:space="preserve"> </v>
      </c>
      <c r="F31" s="577"/>
      <c r="G31" s="577"/>
      <c r="H31" s="577"/>
      <c r="I31" s="577"/>
      <c r="J31" s="577"/>
      <c r="K31" s="577"/>
      <c r="L31" s="577"/>
      <c r="M31" s="577"/>
      <c r="N31" s="577"/>
      <c r="O31" s="577"/>
      <c r="P31" s="577"/>
      <c r="Q31" s="577"/>
      <c r="R31" s="577"/>
      <c r="S31" s="577"/>
      <c r="T31" s="577"/>
      <c r="U31" s="577"/>
      <c r="V31" s="577"/>
      <c r="W31" s="577"/>
      <c r="X31" s="577"/>
      <c r="Y31" s="577"/>
      <c r="Z31" s="577"/>
      <c r="AA31" s="577"/>
      <c r="AB31" s="577"/>
      <c r="AC31" s="577"/>
      <c r="AD31" s="577"/>
      <c r="AE31" s="577"/>
      <c r="AF31" s="577"/>
      <c r="AG31" s="577"/>
      <c r="AH31" s="577"/>
      <c r="AI31" s="578"/>
      <c r="AJ31" s="42"/>
      <c r="AK31" s="136"/>
      <c r="AL31" s="80">
        <f>IF(T28=BF36,C30,IF(E30="**",15,E30))</f>
        <v>35</v>
      </c>
      <c r="AM31" s="102">
        <f t="shared" si="0"/>
        <v>0.57999999999999996</v>
      </c>
      <c r="AN31" s="103">
        <f t="shared" si="1"/>
        <v>0.82499999999999996</v>
      </c>
      <c r="AP31" s="104">
        <f t="shared" si="2"/>
        <v>0.57999999999999996</v>
      </c>
      <c r="AQ31" s="105">
        <f t="shared" si="3"/>
        <v>2.75</v>
      </c>
      <c r="AR31" s="97"/>
      <c r="AZ31" s="95"/>
      <c r="BA31" s="95"/>
      <c r="BF31" s="76" t="s">
        <v>68</v>
      </c>
      <c r="BG31" s="76">
        <v>7.5</v>
      </c>
      <c r="BH31" s="76">
        <v>2.5</v>
      </c>
      <c r="BI31" s="76">
        <v>4</v>
      </c>
      <c r="BJ31" s="76">
        <v>200</v>
      </c>
      <c r="BW31" s="77">
        <f t="shared" si="4"/>
        <v>0.82499999999999996</v>
      </c>
      <c r="BX31" s="77">
        <f t="shared" si="7"/>
        <v>2.75</v>
      </c>
      <c r="BY31" s="76">
        <f t="shared" si="5"/>
        <v>1</v>
      </c>
      <c r="BZ31" s="76">
        <f t="shared" si="6"/>
        <v>2.75</v>
      </c>
      <c r="CA31" s="78">
        <v>0.48</v>
      </c>
    </row>
    <row r="32" spans="2:79" ht="24" customHeight="1">
      <c r="B32" s="107"/>
      <c r="C32" s="468" t="s">
        <v>93</v>
      </c>
      <c r="D32" s="468"/>
      <c r="E32" s="468"/>
      <c r="F32" s="468"/>
      <c r="G32" s="468"/>
      <c r="H32" s="468"/>
      <c r="I32" s="468"/>
      <c r="J32" s="468"/>
      <c r="K32" s="468"/>
      <c r="L32" s="468"/>
      <c r="M32" s="468"/>
      <c r="N32" s="468"/>
      <c r="O32" s="468"/>
      <c r="P32" s="468"/>
      <c r="Q32" s="468"/>
      <c r="R32" s="468"/>
      <c r="S32" s="468"/>
      <c r="T32" s="468"/>
      <c r="U32" s="468"/>
      <c r="V32" s="468"/>
      <c r="W32" s="468"/>
      <c r="X32" s="468"/>
      <c r="Y32" s="468"/>
      <c r="Z32" s="468"/>
      <c r="AA32" s="468"/>
      <c r="AB32" s="468"/>
      <c r="AC32" s="468"/>
      <c r="AD32" s="468"/>
      <c r="AE32" s="468"/>
      <c r="AF32" s="468"/>
      <c r="AG32" s="468"/>
      <c r="AH32" s="468"/>
      <c r="AI32" s="468"/>
      <c r="AJ32" s="468"/>
      <c r="AK32" s="108"/>
      <c r="AM32" s="102">
        <f t="shared" si="0"/>
        <v>0.6</v>
      </c>
      <c r="AN32" s="103">
        <f t="shared" si="1"/>
        <v>0.82499999999999996</v>
      </c>
      <c r="AP32" s="104">
        <f t="shared" si="2"/>
        <v>0.6</v>
      </c>
      <c r="AQ32" s="105">
        <f t="shared" si="3"/>
        <v>2.75</v>
      </c>
      <c r="AR32" s="97"/>
      <c r="AW32" s="89"/>
      <c r="AX32" s="89"/>
      <c r="AZ32" s="591"/>
      <c r="BA32" s="591"/>
      <c r="BF32" s="76" t="s">
        <v>69</v>
      </c>
      <c r="BG32" s="76">
        <v>6</v>
      </c>
      <c r="BH32" s="76">
        <v>2.5</v>
      </c>
      <c r="BI32" s="76">
        <v>5</v>
      </c>
      <c r="BJ32" s="76">
        <v>70</v>
      </c>
      <c r="BW32" s="77">
        <f t="shared" si="4"/>
        <v>0.82499999999999996</v>
      </c>
      <c r="BX32" s="77">
        <f t="shared" si="7"/>
        <v>2.75</v>
      </c>
      <c r="BY32" s="76">
        <f t="shared" si="5"/>
        <v>1</v>
      </c>
      <c r="BZ32" s="76">
        <f t="shared" si="6"/>
        <v>2.75</v>
      </c>
      <c r="CA32" s="78">
        <v>0.5</v>
      </c>
    </row>
    <row r="33" spans="2:79" ht="16.2" customHeight="1" thickBot="1">
      <c r="B33" s="109"/>
      <c r="C33" s="110"/>
      <c r="D33" s="110"/>
      <c r="E33" s="110"/>
      <c r="F33" s="110"/>
      <c r="G33" s="507">
        <f>AC33*S33</f>
        <v>2.75</v>
      </c>
      <c r="H33" s="508"/>
      <c r="I33" s="480" t="s">
        <v>96</v>
      </c>
      <c r="J33" s="480"/>
      <c r="K33" s="480"/>
      <c r="L33" s="480"/>
      <c r="M33" s="480"/>
      <c r="N33" s="636"/>
      <c r="O33" s="637"/>
      <c r="P33" s="137"/>
      <c r="Q33" s="138"/>
      <c r="R33" s="138"/>
      <c r="S33" s="638">
        <f>IF(AND(OR((AL27-V20)&lt;0,(AL27-V20)=0),OR(T16=BD6,T16=BD7)),1,IF(AND((V20-AL27)&lt;0,(AL27-4)&lt;0,OR(T16=BD6,T16=BD7)),BS6,IF(AND(OR((4-AL27)&lt;0,(4-AL27)=0),OR(T16=BD6,T16=BD7)),BS7,IF(AND(OR((AL27-V20)&lt;0,(AL27-V20)=0),OR(T16=BD8,T16=BD9)),1,IF(AND((V20-AL27)&lt;0,(AL27-4)&lt;0,OR(T16=BD8,T16=BD9)),BS9,IF(AND(OR((4-AL27)&lt;0,(4-AL27)=0),OR(T16=BD8,T16=BD9)),BS10,"Error"))))))</f>
        <v>1</v>
      </c>
      <c r="T33" s="639"/>
      <c r="U33" s="640" t="s">
        <v>91</v>
      </c>
      <c r="V33" s="641"/>
      <c r="W33" s="139"/>
      <c r="X33" s="139"/>
      <c r="Y33" s="139"/>
      <c r="Z33" s="139"/>
      <c r="AA33" s="139"/>
      <c r="AB33" s="139"/>
      <c r="AC33" s="479">
        <f>IF(OR((AL27-AH20)&lt;0,(AL27-AH20)=0),BP5,IF(AND((AH20-AL27)&lt;0,(AL27-V20)&lt;0),BP6,IF(OR((V20-AL27)&lt;0,(V20-AL27)=0),BP7,"Error")))</f>
        <v>2.75</v>
      </c>
      <c r="AD33" s="479"/>
      <c r="AE33" s="480" t="s">
        <v>97</v>
      </c>
      <c r="AF33" s="480"/>
      <c r="AG33" s="43"/>
      <c r="AH33" s="110"/>
      <c r="AI33" s="110"/>
      <c r="AJ33" s="110"/>
      <c r="AK33" s="111"/>
      <c r="AM33" s="102">
        <f t="shared" si="0"/>
        <v>0.62</v>
      </c>
      <c r="AN33" s="103">
        <f t="shared" si="1"/>
        <v>0.82499999999999996</v>
      </c>
      <c r="AP33" s="104">
        <f t="shared" si="2"/>
        <v>0.62</v>
      </c>
      <c r="AQ33" s="105">
        <f t="shared" si="3"/>
        <v>2.75</v>
      </c>
      <c r="AR33" s="97"/>
      <c r="AW33" s="89"/>
      <c r="AX33" s="89"/>
      <c r="BF33" s="76" t="s">
        <v>70</v>
      </c>
      <c r="BG33" s="76">
        <v>7</v>
      </c>
      <c r="BH33" s="76">
        <v>2.5</v>
      </c>
      <c r="BI33" s="76">
        <v>5.5</v>
      </c>
      <c r="BJ33" s="76">
        <v>200</v>
      </c>
      <c r="BW33" s="77">
        <f t="shared" si="4"/>
        <v>0.82499999999999996</v>
      </c>
      <c r="BX33" s="77">
        <f t="shared" si="7"/>
        <v>2.75</v>
      </c>
      <c r="BY33" s="76">
        <f t="shared" si="5"/>
        <v>1</v>
      </c>
      <c r="BZ33" s="76">
        <f t="shared" si="6"/>
        <v>2.75</v>
      </c>
      <c r="CA33" s="78">
        <v>0.52</v>
      </c>
    </row>
    <row r="34" spans="2:79" ht="13.2" customHeight="1">
      <c r="B34" s="112"/>
      <c r="C34" s="472">
        <f>0.12*C18*Q22</f>
        <v>3.5999999999999997E-2</v>
      </c>
      <c r="D34" s="473"/>
      <c r="E34" s="473"/>
      <c r="F34" s="469"/>
      <c r="G34" s="469"/>
      <c r="H34" s="469"/>
      <c r="I34" s="289"/>
      <c r="J34" s="289"/>
      <c r="K34" s="289"/>
      <c r="L34" s="588">
        <f>IF((OR(AL27&lt;0.5,AL27=0.5)),1,IF((OR(AL27&gt;2.5,AL27=2.5)),2,IF(AND(AL27&gt;0.5,AL27&lt;2.5),(0.5*AL27+0.75),"Error")))</f>
        <v>1</v>
      </c>
      <c r="M34" s="588"/>
      <c r="N34" s="588"/>
      <c r="O34" s="290"/>
      <c r="P34" s="290"/>
      <c r="Q34" s="544"/>
      <c r="R34" s="544"/>
      <c r="S34" s="291"/>
      <c r="T34" s="541" t="s">
        <v>89</v>
      </c>
      <c r="U34" s="541"/>
      <c r="V34" s="585">
        <f>C18*G33*Q22/(IF(T28=BF36,AF30,AH30))</f>
        <v>0.16499999999999998</v>
      </c>
      <c r="W34" s="585"/>
      <c r="X34" s="585"/>
      <c r="Y34" s="585"/>
      <c r="Z34" s="570" t="s">
        <v>0</v>
      </c>
      <c r="AA34" s="292"/>
      <c r="AB34" s="293"/>
      <c r="AC34" s="293"/>
      <c r="AD34" s="289"/>
      <c r="AE34" s="289"/>
      <c r="AF34" s="289"/>
      <c r="AG34" s="289"/>
      <c r="AH34" s="289"/>
      <c r="AI34" s="294"/>
      <c r="AJ34" s="113"/>
      <c r="AK34" s="114"/>
      <c r="AM34" s="102">
        <f t="shared" si="0"/>
        <v>0.64</v>
      </c>
      <c r="AN34" s="103">
        <f t="shared" si="1"/>
        <v>0.82499999999999996</v>
      </c>
      <c r="AP34" s="104">
        <f t="shared" si="2"/>
        <v>0.64</v>
      </c>
      <c r="AQ34" s="105">
        <f t="shared" si="3"/>
        <v>2.75</v>
      </c>
      <c r="AR34" s="97"/>
      <c r="AW34" s="89"/>
      <c r="AX34" s="89"/>
      <c r="BF34" s="76" t="s">
        <v>71</v>
      </c>
      <c r="BG34" s="76">
        <v>6</v>
      </c>
      <c r="BH34" s="76">
        <v>2.5</v>
      </c>
      <c r="BI34" s="76">
        <v>5</v>
      </c>
      <c r="BJ34" s="76">
        <v>70</v>
      </c>
      <c r="BW34" s="77">
        <f t="shared" si="4"/>
        <v>0.82499999999999996</v>
      </c>
      <c r="BX34" s="77">
        <f t="shared" si="7"/>
        <v>2.75</v>
      </c>
      <c r="BY34" s="76">
        <f t="shared" si="5"/>
        <v>1</v>
      </c>
      <c r="BZ34" s="76">
        <f t="shared" si="6"/>
        <v>2.75</v>
      </c>
      <c r="CA34" s="78">
        <v>0.54</v>
      </c>
    </row>
    <row r="35" spans="2:79" ht="13.2" customHeight="1">
      <c r="B35" s="109"/>
      <c r="C35" s="474"/>
      <c r="D35" s="475"/>
      <c r="E35" s="475"/>
      <c r="F35" s="470"/>
      <c r="G35" s="470"/>
      <c r="H35" s="470"/>
      <c r="I35" s="295"/>
      <c r="J35" s="295"/>
      <c r="K35" s="295"/>
      <c r="L35" s="589"/>
      <c r="M35" s="589"/>
      <c r="N35" s="589"/>
      <c r="O35" s="296"/>
      <c r="P35" s="296"/>
      <c r="Q35" s="545"/>
      <c r="R35" s="545"/>
      <c r="S35" s="295"/>
      <c r="T35" s="542"/>
      <c r="U35" s="542"/>
      <c r="V35" s="586"/>
      <c r="W35" s="586"/>
      <c r="X35" s="586"/>
      <c r="Y35" s="586"/>
      <c r="Z35" s="571"/>
      <c r="AA35" s="297"/>
      <c r="AB35" s="298"/>
      <c r="AC35" s="298"/>
      <c r="AD35" s="295"/>
      <c r="AE35" s="295"/>
      <c r="AF35" s="295"/>
      <c r="AG35" s="295"/>
      <c r="AH35" s="295"/>
      <c r="AI35" s="299"/>
      <c r="AJ35" s="110"/>
      <c r="AK35" s="111"/>
      <c r="AM35" s="102">
        <f t="shared" si="0"/>
        <v>0.66</v>
      </c>
      <c r="AN35" s="103">
        <f t="shared" si="1"/>
        <v>0.82499999999999996</v>
      </c>
      <c r="AP35" s="104">
        <f t="shared" si="2"/>
        <v>0.66</v>
      </c>
      <c r="AQ35" s="105">
        <f t="shared" si="3"/>
        <v>2.75</v>
      </c>
      <c r="AR35" s="97"/>
      <c r="AW35" s="89"/>
      <c r="AX35" s="89"/>
      <c r="BF35" s="76" t="s">
        <v>72</v>
      </c>
      <c r="BG35" s="76">
        <v>2</v>
      </c>
      <c r="BH35" s="76">
        <v>1.5</v>
      </c>
      <c r="BI35" s="76">
        <v>2</v>
      </c>
      <c r="BJ35" s="76">
        <v>10</v>
      </c>
      <c r="BW35" s="77">
        <f t="shared" si="4"/>
        <v>0.82499999999999996</v>
      </c>
      <c r="BX35" s="77">
        <f t="shared" si="7"/>
        <v>2.75</v>
      </c>
      <c r="BY35" s="76">
        <f t="shared" si="5"/>
        <v>1</v>
      </c>
      <c r="BZ35" s="76">
        <f t="shared" si="6"/>
        <v>2.75</v>
      </c>
      <c r="CA35" s="78">
        <v>0.56000000000000005</v>
      </c>
    </row>
    <row r="36" spans="2:79" ht="13.2" customHeight="1" thickBot="1">
      <c r="B36" s="115"/>
      <c r="C36" s="476"/>
      <c r="D36" s="477"/>
      <c r="E36" s="477"/>
      <c r="F36" s="471"/>
      <c r="G36" s="471"/>
      <c r="H36" s="471"/>
      <c r="I36" s="300"/>
      <c r="J36" s="300"/>
      <c r="K36" s="300"/>
      <c r="L36" s="590"/>
      <c r="M36" s="590"/>
      <c r="N36" s="590"/>
      <c r="O36" s="301"/>
      <c r="P36" s="301"/>
      <c r="Q36" s="546"/>
      <c r="R36" s="546"/>
      <c r="S36" s="300"/>
      <c r="T36" s="543"/>
      <c r="U36" s="543"/>
      <c r="V36" s="587"/>
      <c r="W36" s="587"/>
      <c r="X36" s="587"/>
      <c r="Y36" s="587"/>
      <c r="Z36" s="572"/>
      <c r="AA36" s="302"/>
      <c r="AB36" s="303"/>
      <c r="AC36" s="303"/>
      <c r="AD36" s="300"/>
      <c r="AE36" s="300"/>
      <c r="AF36" s="300"/>
      <c r="AG36" s="300"/>
      <c r="AH36" s="300"/>
      <c r="AI36" s="304"/>
      <c r="AJ36" s="110"/>
      <c r="AK36" s="111"/>
      <c r="AM36" s="102">
        <f t="shared" si="0"/>
        <v>0.68</v>
      </c>
      <c r="AN36" s="103">
        <f t="shared" si="1"/>
        <v>0.82499999999999996</v>
      </c>
      <c r="AP36" s="104">
        <f t="shared" si="2"/>
        <v>0.68</v>
      </c>
      <c r="AQ36" s="105">
        <f t="shared" si="3"/>
        <v>2.75</v>
      </c>
      <c r="AR36" s="97"/>
      <c r="AW36" s="89"/>
      <c r="AX36" s="89"/>
      <c r="BF36" s="76" t="s">
        <v>77</v>
      </c>
      <c r="BW36" s="77">
        <f t="shared" si="4"/>
        <v>0.82499999999999996</v>
      </c>
      <c r="BX36" s="77">
        <f t="shared" si="7"/>
        <v>2.75</v>
      </c>
      <c r="BY36" s="76">
        <f t="shared" si="5"/>
        <v>1</v>
      </c>
      <c r="BZ36" s="76">
        <f t="shared" si="6"/>
        <v>2.75</v>
      </c>
      <c r="CA36" s="78">
        <v>0.57999999999999996</v>
      </c>
    </row>
    <row r="37" spans="2:79" ht="19.2" customHeight="1" thickBot="1">
      <c r="B37" s="115"/>
      <c r="C37" s="540" t="str">
        <f>IF(AL27&gt;MIN(AF26,X26),"!  هشدار  !","")</f>
        <v/>
      </c>
      <c r="D37" s="540"/>
      <c r="E37" s="540"/>
      <c r="F37" s="540"/>
      <c r="G37" s="539" t="str">
        <f>IF(AND(AL27&gt;AF26,OR(AL27&lt;X26,AL27=X26)),"دوره تناوب طراحی در جهت X بیشتر از دوره تناوب تحلیلی این جهت شده است.",IF(AND(AL27&gt;X26,OR(AL27&lt;AF26,AL27=AF26)),"دوره تناوب طراحی در جهت Y بیشتر از دوره تناوب تحلیلی این جهت شده است.",IF(AND(AL27&gt;AF26,AL27&gt;X26),"دوره تناوب طراحی بیشتر از دوره تناوب‌های تحلیلی است.","")))</f>
        <v/>
      </c>
      <c r="H37" s="539"/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39"/>
      <c r="T37" s="539"/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39"/>
      <c r="AF37" s="540" t="str">
        <f>IF(AL27&gt;MIN(AF26,X26),"!  هشدار  !","")</f>
        <v/>
      </c>
      <c r="AG37" s="540"/>
      <c r="AH37" s="540"/>
      <c r="AI37" s="540"/>
      <c r="AJ37" s="116"/>
      <c r="AK37" s="117"/>
      <c r="AM37" s="102">
        <f t="shared" si="0"/>
        <v>0.7</v>
      </c>
      <c r="AN37" s="103">
        <f t="shared" si="1"/>
        <v>0.82499999999999996</v>
      </c>
      <c r="AP37" s="104">
        <f t="shared" si="2"/>
        <v>0.7</v>
      </c>
      <c r="AQ37" s="105">
        <f t="shared" si="3"/>
        <v>2.75</v>
      </c>
      <c r="AR37" s="97"/>
      <c r="AW37" s="89"/>
      <c r="AX37" s="89"/>
      <c r="BW37" s="77">
        <f t="shared" si="4"/>
        <v>0.82499999999999996</v>
      </c>
      <c r="BX37" s="77">
        <f t="shared" si="7"/>
        <v>2.75</v>
      </c>
      <c r="BY37" s="76">
        <f t="shared" si="5"/>
        <v>1</v>
      </c>
      <c r="BZ37" s="76">
        <f t="shared" si="6"/>
        <v>2.75</v>
      </c>
      <c r="CA37" s="78">
        <v>0.6</v>
      </c>
    </row>
    <row r="38" spans="2:79" ht="21" customHeight="1" thickTop="1">
      <c r="B38" s="118"/>
      <c r="C38" s="467" t="s">
        <v>94</v>
      </c>
      <c r="D38" s="467"/>
      <c r="E38" s="467"/>
      <c r="F38" s="467"/>
      <c r="G38" s="467"/>
      <c r="H38" s="467"/>
      <c r="I38" s="467"/>
      <c r="J38" s="467"/>
      <c r="K38" s="467"/>
      <c r="L38" s="467"/>
      <c r="M38" s="467"/>
      <c r="N38" s="467"/>
      <c r="O38" s="467"/>
      <c r="P38" s="467"/>
      <c r="Q38" s="467"/>
      <c r="R38" s="467"/>
      <c r="S38" s="467"/>
      <c r="T38" s="467"/>
      <c r="U38" s="467"/>
      <c r="V38" s="467"/>
      <c r="W38" s="467"/>
      <c r="X38" s="467"/>
      <c r="Y38" s="467"/>
      <c r="Z38" s="467"/>
      <c r="AA38" s="467"/>
      <c r="AB38" s="467"/>
      <c r="AC38" s="467"/>
      <c r="AD38" s="467"/>
      <c r="AE38" s="467"/>
      <c r="AF38" s="467"/>
      <c r="AG38" s="467"/>
      <c r="AH38" s="467"/>
      <c r="AI38" s="467"/>
      <c r="AJ38" s="467"/>
      <c r="AK38" s="119"/>
      <c r="AM38" s="102">
        <f t="shared" si="0"/>
        <v>0.72</v>
      </c>
      <c r="AN38" s="103">
        <f t="shared" si="1"/>
        <v>0.80548611111111101</v>
      </c>
      <c r="AP38" s="104">
        <f t="shared" si="2"/>
        <v>0.72</v>
      </c>
      <c r="AQ38" s="105">
        <f t="shared" si="3"/>
        <v>2.6849537037037035</v>
      </c>
      <c r="AR38" s="97"/>
      <c r="AW38" s="89"/>
      <c r="AX38" s="89"/>
      <c r="BW38" s="77">
        <f t="shared" si="4"/>
        <v>0.82499999999999996</v>
      </c>
      <c r="BX38" s="77">
        <f t="shared" si="7"/>
        <v>2.75</v>
      </c>
      <c r="BY38" s="76">
        <f t="shared" si="5"/>
        <v>1</v>
      </c>
      <c r="BZ38" s="76">
        <f t="shared" si="6"/>
        <v>2.75</v>
      </c>
      <c r="CA38" s="78">
        <v>0.62</v>
      </c>
    </row>
    <row r="39" spans="2:79" ht="17.399999999999999" customHeight="1" thickBot="1">
      <c r="B39" s="118"/>
      <c r="C39" s="120"/>
      <c r="D39" s="120"/>
      <c r="E39" s="120"/>
      <c r="F39" s="120"/>
      <c r="G39" s="555">
        <f>Z39*R39</f>
        <v>2.75</v>
      </c>
      <c r="H39" s="556"/>
      <c r="I39" s="557"/>
      <c r="J39" s="557"/>
      <c r="K39" s="557"/>
      <c r="L39" s="557"/>
      <c r="M39" s="557"/>
      <c r="N39" s="547"/>
      <c r="O39" s="548"/>
      <c r="P39" s="140"/>
      <c r="Q39" s="141"/>
      <c r="R39" s="626">
        <f>IF(AND(OR((AF26-V20)&lt;0,(AF26-V20)=0),OR(T16=BD6,T16=BD7)),1,IF(AND((V20-AF26)&lt;0,(AF26-4)&lt;0,OR(T16=BD6,T16=BD7)),BR6,IF(AND(OR((4-AF26)&lt;0,(4-AF26)=0),OR(T16=BD6,T16=BD7)),BR7,IF(AND(OR((AF26-V20)&lt;0,(AF26-V20)=0),OR(T16=BD8,T16=BD9)),1,IF(AND((V20-AF26)&lt;0,(AF26-4)&lt;0,OR(T16=BD8,T16=BD9)),BR9,IF(AND(OR((4-AF26)&lt;0,(4-AF26)=0),OR(T16=BD8,T16=BD9)),BR10,"Error"))))))</f>
        <v>1</v>
      </c>
      <c r="S39" s="626"/>
      <c r="T39" s="142"/>
      <c r="U39" s="549"/>
      <c r="V39" s="550"/>
      <c r="W39" s="143"/>
      <c r="X39" s="143"/>
      <c r="Y39" s="143"/>
      <c r="Z39" s="625">
        <f>IF(OR((AF26-AH20)&lt;0,(AF26-AH20)=0),BO5,IF(AND((AH20-AF26)&lt;0,(AF26-V20)&lt;0),BO6,IF(OR((V20-AF26)&lt;0,(V20-AF26)=0),BO7,"Error")))</f>
        <v>2.75</v>
      </c>
      <c r="AA39" s="625"/>
      <c r="AB39" s="625"/>
      <c r="AC39" s="120"/>
      <c r="AD39" s="144"/>
      <c r="AE39" s="557"/>
      <c r="AF39" s="557"/>
      <c r="AG39" s="145"/>
      <c r="AH39" s="120"/>
      <c r="AI39" s="120"/>
      <c r="AJ39" s="146"/>
      <c r="AK39" s="119"/>
      <c r="AM39" s="102">
        <f t="shared" si="0"/>
        <v>0.74</v>
      </c>
      <c r="AN39" s="103">
        <f t="shared" si="1"/>
        <v>0.78702702702702709</v>
      </c>
      <c r="AP39" s="104">
        <f t="shared" si="2"/>
        <v>0.74</v>
      </c>
      <c r="AQ39" s="105">
        <f t="shared" si="3"/>
        <v>2.6234234234234237</v>
      </c>
      <c r="AR39" s="97"/>
      <c r="AW39" s="89"/>
      <c r="AX39" s="89"/>
      <c r="BW39" s="77">
        <f t="shared" si="4"/>
        <v>0.82499999999999996</v>
      </c>
      <c r="BX39" s="77">
        <f t="shared" si="7"/>
        <v>2.75</v>
      </c>
      <c r="BY39" s="76">
        <f t="shared" si="5"/>
        <v>1</v>
      </c>
      <c r="BZ39" s="76">
        <f t="shared" si="6"/>
        <v>2.75</v>
      </c>
      <c r="CA39" s="78">
        <v>0.64</v>
      </c>
    </row>
    <row r="40" spans="2:79" ht="21" customHeight="1">
      <c r="B40" s="118"/>
      <c r="C40" s="559">
        <f>0.12*C18*Q22</f>
        <v>3.5999999999999997E-2</v>
      </c>
      <c r="D40" s="560"/>
      <c r="E40" s="560"/>
      <c r="F40" s="563"/>
      <c r="G40" s="563"/>
      <c r="H40" s="563"/>
      <c r="I40" s="54"/>
      <c r="J40" s="54"/>
      <c r="K40" s="54"/>
      <c r="L40" s="537">
        <f>IF((OR(AF26&lt;0.5,AF26=0.5)),1,IF((OR(AF26&gt;2.5,AF26=2.5)),2,IF(AND(AF26&gt;0.5,AF26&lt;2.5),(0.5*AF26+0.75),"Error")))</f>
        <v>1.1000000000000001</v>
      </c>
      <c r="M40" s="537"/>
      <c r="N40" s="537"/>
      <c r="O40" s="55"/>
      <c r="P40" s="56"/>
      <c r="Q40" s="54"/>
      <c r="R40" s="54"/>
      <c r="S40" s="54"/>
      <c r="T40" s="54"/>
      <c r="U40" s="535" t="s">
        <v>89</v>
      </c>
      <c r="V40" s="535"/>
      <c r="W40" s="628">
        <f>C18*G39*Q22/(IF(T28=BF36,AF30,AH30))</f>
        <v>0.16499999999999998</v>
      </c>
      <c r="X40" s="628"/>
      <c r="Y40" s="628"/>
      <c r="Z40" s="628"/>
      <c r="AA40" s="57"/>
      <c r="AB40" s="58"/>
      <c r="AC40" s="58"/>
      <c r="AD40" s="54"/>
      <c r="AE40" s="54"/>
      <c r="AF40" s="54"/>
      <c r="AG40" s="54"/>
      <c r="AH40" s="54"/>
      <c r="AI40" s="59"/>
      <c r="AJ40" s="120"/>
      <c r="AK40" s="119"/>
      <c r="AM40" s="102">
        <f t="shared" si="0"/>
        <v>0.76</v>
      </c>
      <c r="AN40" s="103">
        <f t="shared" si="1"/>
        <v>0.7695394736842105</v>
      </c>
      <c r="AP40" s="104">
        <f t="shared" si="2"/>
        <v>0.76</v>
      </c>
      <c r="AQ40" s="105">
        <f t="shared" si="3"/>
        <v>2.5651315789473683</v>
      </c>
      <c r="AR40" s="97"/>
      <c r="AW40" s="89"/>
      <c r="AX40" s="89"/>
      <c r="BW40" s="77">
        <f t="shared" si="4"/>
        <v>0.82499999999999996</v>
      </c>
      <c r="BX40" s="77">
        <f t="shared" si="7"/>
        <v>2.75</v>
      </c>
      <c r="BY40" s="76">
        <f t="shared" si="5"/>
        <v>1</v>
      </c>
      <c r="BZ40" s="76">
        <f t="shared" si="6"/>
        <v>2.75</v>
      </c>
      <c r="CA40" s="78">
        <v>0.66</v>
      </c>
    </row>
    <row r="41" spans="2:79" ht="21" customHeight="1" thickBot="1">
      <c r="B41" s="118"/>
      <c r="C41" s="561"/>
      <c r="D41" s="562"/>
      <c r="E41" s="562"/>
      <c r="F41" s="564"/>
      <c r="G41" s="564"/>
      <c r="H41" s="564"/>
      <c r="I41" s="60"/>
      <c r="J41" s="60"/>
      <c r="K41" s="61"/>
      <c r="L41" s="538"/>
      <c r="M41" s="538"/>
      <c r="N41" s="538"/>
      <c r="O41" s="62"/>
      <c r="P41" s="63"/>
      <c r="Q41" s="60"/>
      <c r="R41" s="60"/>
      <c r="S41" s="60"/>
      <c r="T41" s="64"/>
      <c r="U41" s="536"/>
      <c r="V41" s="536"/>
      <c r="W41" s="629"/>
      <c r="X41" s="629"/>
      <c r="Y41" s="629"/>
      <c r="Z41" s="629"/>
      <c r="AA41" s="65"/>
      <c r="AB41" s="66"/>
      <c r="AC41" s="66"/>
      <c r="AD41" s="60"/>
      <c r="AE41" s="60"/>
      <c r="AF41" s="60"/>
      <c r="AG41" s="60"/>
      <c r="AH41" s="60"/>
      <c r="AI41" s="67"/>
      <c r="AJ41" s="120"/>
      <c r="AK41" s="119"/>
      <c r="AM41" s="102">
        <f t="shared" si="0"/>
        <v>0.78</v>
      </c>
      <c r="AN41" s="103">
        <f t="shared" si="1"/>
        <v>0.75294871794871787</v>
      </c>
      <c r="AP41" s="104">
        <f t="shared" si="2"/>
        <v>0.78</v>
      </c>
      <c r="AQ41" s="105">
        <f t="shared" si="3"/>
        <v>2.5098290598290598</v>
      </c>
      <c r="AR41" s="97"/>
      <c r="AW41" s="89"/>
      <c r="AX41" s="89"/>
      <c r="BW41" s="77">
        <f t="shared" si="4"/>
        <v>0.82499999999999996</v>
      </c>
      <c r="BX41" s="77">
        <f t="shared" si="7"/>
        <v>2.75</v>
      </c>
      <c r="BY41" s="76">
        <f t="shared" si="5"/>
        <v>1</v>
      </c>
      <c r="BZ41" s="76">
        <f t="shared" si="6"/>
        <v>2.75</v>
      </c>
      <c r="CA41" s="78">
        <v>0.68</v>
      </c>
    </row>
    <row r="42" spans="2:79" ht="19.2" customHeight="1" thickBot="1">
      <c r="B42" s="118"/>
      <c r="C42" s="120"/>
      <c r="D42" s="120"/>
      <c r="E42" s="120"/>
      <c r="F42" s="120"/>
      <c r="G42" s="579">
        <f>Z42*R42</f>
        <v>2.0474999999999999</v>
      </c>
      <c r="H42" s="580"/>
      <c r="I42" s="558"/>
      <c r="J42" s="558"/>
      <c r="K42" s="558"/>
      <c r="L42" s="558"/>
      <c r="M42" s="558"/>
      <c r="N42" s="581"/>
      <c r="O42" s="582"/>
      <c r="P42" s="147"/>
      <c r="Q42" s="148"/>
      <c r="R42" s="627">
        <f>IF(AND(OR((X26-V20)&lt;0,(X26-V20)=0),OR(T16=BD6,T16=BD7)),1,IF(AND((V20-X26)&lt;0,(X26-4)&lt;0,OR(T16=BD6,T16=BD7)),BQ6,IF(AND(OR((4-X26)&lt;0,(4-X26)=0),OR(T16=BD6,T16=BD7)),BQ7,IF(AND(OR((X26-V20)&lt;0,(X26-V20)=0),OR(T16=BD8,T16=BD9)),1,IF(AND((V20-X26)&lt;0,(X26-4)&lt;0,OR(T16=BD8,T16=BD9)),BQ9,IF(AND(OR((4-X26)&lt;0,(4-X26)=0),OR(T16=BD8,T16=BD9)),BQ10,"Error"))))))</f>
        <v>1.0636363636363637</v>
      </c>
      <c r="S42" s="627"/>
      <c r="T42" s="149"/>
      <c r="U42" s="583"/>
      <c r="V42" s="584"/>
      <c r="W42" s="150"/>
      <c r="X42" s="150"/>
      <c r="Y42" s="150"/>
      <c r="Z42" s="627">
        <f>IF(OR((X26-AH20)&lt;0,(X26-AH20)=0),BN5,IF(AND((AH20-X26)&lt;0,(X26-V20)&lt;0),BN6,IF(OR((V20-X26)&lt;0,(V20-X26)=0),BN7,"Error")))</f>
        <v>1.9249999999999998</v>
      </c>
      <c r="AA42" s="627"/>
      <c r="AB42" s="627"/>
      <c r="AC42" s="151"/>
      <c r="AD42" s="151"/>
      <c r="AE42" s="558"/>
      <c r="AF42" s="558"/>
      <c r="AG42" s="152"/>
      <c r="AH42" s="151"/>
      <c r="AI42" s="151"/>
      <c r="AJ42" s="120"/>
      <c r="AK42" s="119"/>
      <c r="AM42" s="102">
        <f t="shared" si="0"/>
        <v>0.8</v>
      </c>
      <c r="AN42" s="103">
        <f t="shared" si="1"/>
        <v>0.73718749999999988</v>
      </c>
      <c r="AP42" s="104">
        <f t="shared" si="2"/>
        <v>0.8</v>
      </c>
      <c r="AQ42" s="105">
        <f t="shared" si="3"/>
        <v>2.4572916666666664</v>
      </c>
      <c r="AR42" s="97"/>
      <c r="AW42" s="89"/>
      <c r="AX42" s="89"/>
      <c r="BW42" s="77">
        <f t="shared" si="4"/>
        <v>0.82499999999999996</v>
      </c>
      <c r="BX42" s="77">
        <f t="shared" si="7"/>
        <v>2.75</v>
      </c>
      <c r="BY42" s="76">
        <f t="shared" si="5"/>
        <v>1</v>
      </c>
      <c r="BZ42" s="76">
        <f t="shared" si="6"/>
        <v>2.75</v>
      </c>
      <c r="CA42" s="78">
        <v>0.7</v>
      </c>
    </row>
    <row r="43" spans="2:79" ht="21" customHeight="1">
      <c r="B43" s="118"/>
      <c r="C43" s="559">
        <f>0.12*C18*Q22</f>
        <v>3.5999999999999997E-2</v>
      </c>
      <c r="D43" s="560"/>
      <c r="E43" s="560"/>
      <c r="F43" s="563"/>
      <c r="G43" s="563"/>
      <c r="H43" s="563"/>
      <c r="I43" s="54"/>
      <c r="J43" s="54"/>
      <c r="K43" s="54"/>
      <c r="L43" s="537">
        <f>IF((OR(X26&lt;0.5,X26=0.5)),1,IF((OR(X26&gt;2.5,X26=2.5)),2,IF(AND(X26&gt;0.5,X26&lt;2.5),(0.5*X26+0.75),"Error")))</f>
        <v>1.25</v>
      </c>
      <c r="M43" s="537"/>
      <c r="N43" s="537"/>
      <c r="O43" s="55"/>
      <c r="P43" s="56"/>
      <c r="Q43" s="68"/>
      <c r="R43" s="69"/>
      <c r="S43" s="69"/>
      <c r="T43" s="54"/>
      <c r="U43" s="535" t="s">
        <v>89</v>
      </c>
      <c r="V43" s="535"/>
      <c r="W43" s="533">
        <f>C18*G42*Q22/(IF(T28=BF36,AF30,AH30))</f>
        <v>0.12284999999999999</v>
      </c>
      <c r="X43" s="533"/>
      <c r="Y43" s="533"/>
      <c r="Z43" s="533"/>
      <c r="AA43" s="70"/>
      <c r="AB43" s="58"/>
      <c r="AC43" s="58"/>
      <c r="AD43" s="54"/>
      <c r="AE43" s="54"/>
      <c r="AF43" s="54"/>
      <c r="AG43" s="54"/>
      <c r="AH43" s="54"/>
      <c r="AI43" s="59"/>
      <c r="AJ43" s="120"/>
      <c r="AK43" s="119"/>
      <c r="AM43" s="102">
        <f t="shared" si="0"/>
        <v>0.82</v>
      </c>
      <c r="AN43" s="103">
        <f t="shared" si="1"/>
        <v>0.72219512195121949</v>
      </c>
      <c r="AP43" s="104">
        <f t="shared" si="2"/>
        <v>0.82</v>
      </c>
      <c r="AQ43" s="105">
        <f t="shared" si="3"/>
        <v>2.4073170731707316</v>
      </c>
      <c r="AR43" s="97"/>
      <c r="AW43" s="89"/>
      <c r="AX43" s="89"/>
      <c r="BW43" s="77">
        <f t="shared" si="4"/>
        <v>0.80548611111111101</v>
      </c>
      <c r="BX43" s="77">
        <f t="shared" si="7"/>
        <v>2.6849537037037035</v>
      </c>
      <c r="BY43" s="76">
        <f t="shared" si="5"/>
        <v>1.0042424242424242</v>
      </c>
      <c r="BZ43" s="76">
        <f t="shared" si="6"/>
        <v>2.6736111111111112</v>
      </c>
      <c r="CA43" s="78">
        <v>0.72</v>
      </c>
    </row>
    <row r="44" spans="2:79" ht="21" customHeight="1" thickBot="1">
      <c r="B44" s="153"/>
      <c r="C44" s="561"/>
      <c r="D44" s="562"/>
      <c r="E44" s="562"/>
      <c r="F44" s="564"/>
      <c r="G44" s="564"/>
      <c r="H44" s="564"/>
      <c r="I44" s="60"/>
      <c r="J44" s="60"/>
      <c r="K44" s="61"/>
      <c r="L44" s="538"/>
      <c r="M44" s="538"/>
      <c r="N44" s="538"/>
      <c r="O44" s="62"/>
      <c r="P44" s="63"/>
      <c r="Q44" s="71"/>
      <c r="R44" s="72"/>
      <c r="S44" s="72"/>
      <c r="T44" s="64"/>
      <c r="U44" s="536"/>
      <c r="V44" s="536"/>
      <c r="W44" s="534"/>
      <c r="X44" s="534"/>
      <c r="Y44" s="534"/>
      <c r="Z44" s="534"/>
      <c r="AA44" s="73"/>
      <c r="AB44" s="66"/>
      <c r="AC44" s="66"/>
      <c r="AD44" s="60"/>
      <c r="AE44" s="60"/>
      <c r="AF44" s="60"/>
      <c r="AG44" s="60"/>
      <c r="AH44" s="60"/>
      <c r="AI44" s="67"/>
      <c r="AJ44" s="74"/>
      <c r="AK44" s="119"/>
      <c r="AM44" s="102">
        <f t="shared" si="0"/>
        <v>0.84</v>
      </c>
      <c r="AN44" s="103">
        <f t="shared" si="1"/>
        <v>0.70791666666666664</v>
      </c>
      <c r="AP44" s="104">
        <f t="shared" si="2"/>
        <v>0.84</v>
      </c>
      <c r="AQ44" s="105">
        <f t="shared" si="3"/>
        <v>2.3597222222222221</v>
      </c>
      <c r="AR44" s="97"/>
      <c r="AW44" s="89"/>
      <c r="AX44" s="89"/>
      <c r="BW44" s="77">
        <f t="shared" si="4"/>
        <v>0.78702702702702709</v>
      </c>
      <c r="BX44" s="77">
        <f t="shared" si="7"/>
        <v>2.6234234234234237</v>
      </c>
      <c r="BY44" s="76">
        <f t="shared" si="5"/>
        <v>1.0084848484848485</v>
      </c>
      <c r="BZ44" s="76">
        <f t="shared" si="6"/>
        <v>2.6013513513513513</v>
      </c>
      <c r="CA44" s="78">
        <v>0.74</v>
      </c>
    </row>
    <row r="45" spans="2:79" ht="18" customHeight="1">
      <c r="B45" s="551" t="str">
        <f>IF(AND(T21=BE6,T25=BT6,AF26&gt;O27),"با توجه به اهمیت سازه استفاده از زمان تناوب تحلیلی جهت کنترل تغییر مکان مجاز نمی باشد",IF(AND(OR(T21=BE7,T21=BE8,T21=BE9),T25=BT6,AF26&gt;O27),"استفاده از این میزان زمان تناوب صرفا جهت محاسبه ضریب زلزله برای کنترل تغییرمکان مجاز می باشد.(بندشماره 3-5-3 آیین نامه2800)"," "))</f>
        <v xml:space="preserve"> </v>
      </c>
      <c r="C45" s="552"/>
      <c r="D45" s="552"/>
      <c r="E45" s="552"/>
      <c r="F45" s="552"/>
      <c r="G45" s="552"/>
      <c r="H45" s="552"/>
      <c r="I45" s="552"/>
      <c r="J45" s="552"/>
      <c r="K45" s="552"/>
      <c r="L45" s="552"/>
      <c r="M45" s="552"/>
      <c r="N45" s="552"/>
      <c r="O45" s="552"/>
      <c r="P45" s="552"/>
      <c r="Q45" s="552"/>
      <c r="R45" s="552"/>
      <c r="S45" s="552"/>
      <c r="T45" s="552"/>
      <c r="U45" s="552"/>
      <c r="V45" s="552"/>
      <c r="W45" s="552"/>
      <c r="X45" s="552"/>
      <c r="Y45" s="552"/>
      <c r="Z45" s="552"/>
      <c r="AA45" s="552"/>
      <c r="AB45" s="552"/>
      <c r="AC45" s="552"/>
      <c r="AD45" s="552"/>
      <c r="AE45" s="552"/>
      <c r="AF45" s="552"/>
      <c r="AG45" s="552"/>
      <c r="AH45" s="552"/>
      <c r="AI45" s="552"/>
      <c r="AJ45" s="553"/>
      <c r="AK45" s="554"/>
      <c r="AM45" s="102">
        <f t="shared" si="0"/>
        <v>0.86</v>
      </c>
      <c r="AN45" s="103">
        <f t="shared" si="1"/>
        <v>0.69430232558139526</v>
      </c>
      <c r="AP45" s="104">
        <f t="shared" si="2"/>
        <v>0.86</v>
      </c>
      <c r="AQ45" s="105">
        <f t="shared" si="3"/>
        <v>2.3143410852713178</v>
      </c>
      <c r="AR45" s="97"/>
      <c r="AW45" s="89"/>
      <c r="AX45" s="89"/>
      <c r="BW45" s="77">
        <f t="shared" si="4"/>
        <v>0.7695394736842105</v>
      </c>
      <c r="BX45" s="77">
        <f t="shared" si="7"/>
        <v>2.5651315789473683</v>
      </c>
      <c r="BY45" s="76">
        <f t="shared" si="5"/>
        <v>1.0127272727272727</v>
      </c>
      <c r="BZ45" s="76">
        <f t="shared" si="6"/>
        <v>2.5328947368421053</v>
      </c>
      <c r="CA45" s="78">
        <v>0.76</v>
      </c>
    </row>
    <row r="46" spans="2:79" ht="18" customHeight="1">
      <c r="B46" s="573" t="str">
        <f>IF(V34&lt;C34,"!    اخطار        ضریب زلزله از ضریب زلزله حداقل کمتر می باشد.     !"," ")</f>
        <v xml:space="preserve"> </v>
      </c>
      <c r="C46" s="574"/>
      <c r="D46" s="574"/>
      <c r="E46" s="574"/>
      <c r="F46" s="574"/>
      <c r="G46" s="574"/>
      <c r="H46" s="574"/>
      <c r="I46" s="574"/>
      <c r="J46" s="574"/>
      <c r="K46" s="574"/>
      <c r="L46" s="574"/>
      <c r="M46" s="574"/>
      <c r="N46" s="574"/>
      <c r="O46" s="574"/>
      <c r="P46" s="574"/>
      <c r="Q46" s="574"/>
      <c r="R46" s="574"/>
      <c r="S46" s="574"/>
      <c r="T46" s="574"/>
      <c r="U46" s="574"/>
      <c r="V46" s="574"/>
      <c r="W46" s="574"/>
      <c r="X46" s="574"/>
      <c r="Y46" s="574"/>
      <c r="Z46" s="574"/>
      <c r="AA46" s="574"/>
      <c r="AB46" s="574"/>
      <c r="AC46" s="574"/>
      <c r="AD46" s="574"/>
      <c r="AE46" s="574"/>
      <c r="AF46" s="574"/>
      <c r="AG46" s="574"/>
      <c r="AH46" s="574"/>
      <c r="AI46" s="574"/>
      <c r="AJ46" s="574"/>
      <c r="AK46" s="575"/>
      <c r="AM46" s="102">
        <f t="shared" si="0"/>
        <v>0.88</v>
      </c>
      <c r="AN46" s="103">
        <f t="shared" si="1"/>
        <v>0.68130681818181815</v>
      </c>
      <c r="AP46" s="104">
        <f t="shared" si="2"/>
        <v>0.88</v>
      </c>
      <c r="AQ46" s="105">
        <f t="shared" si="3"/>
        <v>2.2710227272727272</v>
      </c>
      <c r="AR46" s="97"/>
      <c r="AW46" s="89"/>
      <c r="AX46" s="89"/>
      <c r="BW46" s="77">
        <f t="shared" si="4"/>
        <v>0.75294871794871787</v>
      </c>
      <c r="BX46" s="77">
        <f t="shared" si="7"/>
        <v>2.5098290598290598</v>
      </c>
      <c r="BY46" s="76">
        <f t="shared" si="5"/>
        <v>1.0169696969696971</v>
      </c>
      <c r="BZ46" s="76">
        <f t="shared" si="6"/>
        <v>2.4679487179487176</v>
      </c>
      <c r="CA46" s="78">
        <v>0.78</v>
      </c>
    </row>
    <row r="47" spans="2:79" ht="19.5" customHeight="1">
      <c r="B47" s="565" t="str">
        <f>IF(OR(T21=BE6,T21=BE7,T24&gt;49.9)," ! توجه کنترل سازه برای بار زلزله سطح بهره بردای، میبایست صورت گیرد."," ")</f>
        <v xml:space="preserve"> </v>
      </c>
      <c r="C47" s="566"/>
      <c r="D47" s="566"/>
      <c r="E47" s="566"/>
      <c r="F47" s="566"/>
      <c r="G47" s="566"/>
      <c r="H47" s="566"/>
      <c r="I47" s="566"/>
      <c r="J47" s="566"/>
      <c r="K47" s="566"/>
      <c r="L47" s="566"/>
      <c r="M47" s="566"/>
      <c r="N47" s="566"/>
      <c r="O47" s="566"/>
      <c r="P47" s="566"/>
      <c r="Q47" s="566"/>
      <c r="R47" s="566"/>
      <c r="S47" s="566"/>
      <c r="T47" s="566"/>
      <c r="U47" s="566"/>
      <c r="V47" s="566"/>
      <c r="W47" s="566"/>
      <c r="X47" s="566"/>
      <c r="Y47" s="566"/>
      <c r="Z47" s="566"/>
      <c r="AA47" s="566"/>
      <c r="AB47" s="566"/>
      <c r="AC47" s="566"/>
      <c r="AD47" s="566"/>
      <c r="AE47" s="566"/>
      <c r="AF47" s="566"/>
      <c r="AG47" s="566"/>
      <c r="AH47" s="566"/>
      <c r="AI47" s="566"/>
      <c r="AJ47" s="566"/>
      <c r="AK47" s="567"/>
      <c r="AM47" s="102">
        <f t="shared" si="0"/>
        <v>0.9</v>
      </c>
      <c r="AN47" s="103">
        <f t="shared" si="1"/>
        <v>0.66888888888888876</v>
      </c>
      <c r="AP47" s="104">
        <f t="shared" si="2"/>
        <v>0.9</v>
      </c>
      <c r="AQ47" s="105">
        <f t="shared" si="3"/>
        <v>2.2296296296296294</v>
      </c>
      <c r="AR47" s="97"/>
      <c r="AW47" s="89"/>
      <c r="AX47" s="89"/>
      <c r="BW47" s="77">
        <f t="shared" si="4"/>
        <v>0.73718749999999988</v>
      </c>
      <c r="BX47" s="77">
        <f t="shared" si="7"/>
        <v>2.4572916666666664</v>
      </c>
      <c r="BY47" s="76">
        <f t="shared" si="5"/>
        <v>1.0212121212121212</v>
      </c>
      <c r="BZ47" s="76">
        <f t="shared" si="6"/>
        <v>2.4062499999999996</v>
      </c>
      <c r="CA47" s="78">
        <v>0.8</v>
      </c>
    </row>
    <row r="48" spans="2:79" ht="19.5" customHeight="1">
      <c r="B48" s="568" t="str">
        <f>IF(E30="**","**"," ")</f>
        <v xml:space="preserve"> </v>
      </c>
      <c r="C48" s="529" t="str">
        <f>IF(E30="**","استفاده از این سیستم برای ساختمان های  با اهمیت خیلی زیاد و زیاد در تمام مناطق لرزه خیزی و برای ساختمان های بااهمیت متوسط در مناطق"," ")</f>
        <v xml:space="preserve"> </v>
      </c>
      <c r="D48" s="529"/>
      <c r="E48" s="529"/>
      <c r="F48" s="529"/>
      <c r="G48" s="529"/>
      <c r="H48" s="529"/>
      <c r="I48" s="529"/>
      <c r="J48" s="529"/>
      <c r="K48" s="529"/>
      <c r="L48" s="529"/>
      <c r="M48" s="529"/>
      <c r="N48" s="529"/>
      <c r="O48" s="529"/>
      <c r="P48" s="529"/>
      <c r="Q48" s="529"/>
      <c r="R48" s="529"/>
      <c r="S48" s="529"/>
      <c r="T48" s="529"/>
      <c r="U48" s="529"/>
      <c r="V48" s="529"/>
      <c r="W48" s="529"/>
      <c r="X48" s="529"/>
      <c r="Y48" s="529"/>
      <c r="Z48" s="529"/>
      <c r="AA48" s="529"/>
      <c r="AB48" s="529"/>
      <c r="AC48" s="529"/>
      <c r="AD48" s="529"/>
      <c r="AE48" s="529"/>
      <c r="AF48" s="529"/>
      <c r="AG48" s="529"/>
      <c r="AH48" s="529"/>
      <c r="AI48" s="529"/>
      <c r="AJ48" s="529"/>
      <c r="AK48" s="530"/>
      <c r="AM48" s="102">
        <f t="shared" si="0"/>
        <v>0.92</v>
      </c>
      <c r="AN48" s="103">
        <f t="shared" si="1"/>
        <v>0.65701086956521715</v>
      </c>
      <c r="AP48" s="104">
        <f t="shared" si="2"/>
        <v>0.92</v>
      </c>
      <c r="AQ48" s="105">
        <f t="shared" si="3"/>
        <v>2.1900362318840574</v>
      </c>
      <c r="AR48" s="97"/>
      <c r="AW48" s="89"/>
      <c r="AX48" s="89"/>
      <c r="BW48" s="77">
        <f t="shared" si="4"/>
        <v>0.72219512195121949</v>
      </c>
      <c r="BX48" s="77">
        <f t="shared" si="7"/>
        <v>2.4073170731707316</v>
      </c>
      <c r="BY48" s="76">
        <f t="shared" si="5"/>
        <v>1.0254545454545454</v>
      </c>
      <c r="BZ48" s="76">
        <f t="shared" si="6"/>
        <v>2.3475609756097562</v>
      </c>
      <c r="CA48" s="78">
        <v>0.82</v>
      </c>
    </row>
    <row r="49" spans="2:79" ht="19.2" thickBot="1">
      <c r="B49" s="569"/>
      <c r="C49" s="531" t="str">
        <f>IF(E30="**"," لرزه خیزی1و2 مجاز نیست.ارتفاع حداکثراین سیستم برای ساختمان های بااهمیت متوسط درمناطق لرزه خیزی3و4 به 15متر محدود می گردد."," ")</f>
        <v xml:space="preserve"> </v>
      </c>
      <c r="D49" s="531"/>
      <c r="E49" s="531"/>
      <c r="F49" s="531"/>
      <c r="G49" s="531"/>
      <c r="H49" s="531"/>
      <c r="I49" s="531"/>
      <c r="J49" s="531"/>
      <c r="K49" s="531"/>
      <c r="L49" s="531"/>
      <c r="M49" s="531"/>
      <c r="N49" s="531"/>
      <c r="O49" s="531"/>
      <c r="P49" s="531"/>
      <c r="Q49" s="531"/>
      <c r="R49" s="531"/>
      <c r="S49" s="531"/>
      <c r="T49" s="531"/>
      <c r="U49" s="531"/>
      <c r="V49" s="531"/>
      <c r="W49" s="531"/>
      <c r="X49" s="531"/>
      <c r="Y49" s="531"/>
      <c r="Z49" s="531"/>
      <c r="AA49" s="531"/>
      <c r="AB49" s="531"/>
      <c r="AC49" s="531"/>
      <c r="AD49" s="531"/>
      <c r="AE49" s="531"/>
      <c r="AF49" s="531"/>
      <c r="AG49" s="531"/>
      <c r="AH49" s="531"/>
      <c r="AI49" s="531"/>
      <c r="AJ49" s="531"/>
      <c r="AK49" s="532"/>
      <c r="AM49" s="102">
        <f t="shared" si="0"/>
        <v>0.94</v>
      </c>
      <c r="AN49" s="103">
        <f t="shared" si="1"/>
        <v>0.64563829787234028</v>
      </c>
      <c r="AP49" s="104">
        <f t="shared" si="2"/>
        <v>0.94</v>
      </c>
      <c r="AQ49" s="105">
        <f t="shared" si="3"/>
        <v>2.1521276595744676</v>
      </c>
      <c r="AR49" s="97"/>
      <c r="AW49" s="89"/>
      <c r="AX49" s="89"/>
      <c r="BW49" s="77">
        <f t="shared" si="4"/>
        <v>0.70791666666666664</v>
      </c>
      <c r="BX49" s="77">
        <f t="shared" si="7"/>
        <v>2.3597222222222221</v>
      </c>
      <c r="BY49" s="76">
        <f t="shared" si="5"/>
        <v>1.0296969696969698</v>
      </c>
      <c r="BZ49" s="76">
        <f t="shared" si="6"/>
        <v>2.2916666666666665</v>
      </c>
      <c r="CA49" s="78">
        <v>0.84</v>
      </c>
    </row>
    <row r="50" spans="2:79">
      <c r="B50" s="623" t="str">
        <f>AE9</f>
        <v>Ver: 1.2.0</v>
      </c>
      <c r="C50" s="623"/>
      <c r="D50" s="623"/>
      <c r="E50" s="623"/>
      <c r="F50" s="623"/>
      <c r="G50" s="623"/>
      <c r="H50" s="623"/>
      <c r="I50" s="623"/>
      <c r="AC50" s="623" t="s">
        <v>248</v>
      </c>
      <c r="AD50" s="623"/>
      <c r="AE50" s="623"/>
      <c r="AF50" s="623"/>
      <c r="AG50" s="623"/>
      <c r="AH50" s="623"/>
      <c r="AI50" s="623"/>
      <c r="AJ50" s="623"/>
      <c r="AK50" s="623"/>
      <c r="AL50" s="86"/>
      <c r="AM50" s="102">
        <f t="shared" si="0"/>
        <v>0.96</v>
      </c>
      <c r="AN50" s="103">
        <f t="shared" si="1"/>
        <v>0.63473958333333325</v>
      </c>
      <c r="AP50" s="104">
        <f t="shared" si="2"/>
        <v>0.96</v>
      </c>
      <c r="AQ50" s="105">
        <f t="shared" si="3"/>
        <v>2.1157986111111109</v>
      </c>
      <c r="AR50" s="97"/>
      <c r="BW50" s="77">
        <f t="shared" si="4"/>
        <v>0.69430232558139526</v>
      </c>
      <c r="BX50" s="77">
        <f t="shared" si="7"/>
        <v>2.3143410852713178</v>
      </c>
      <c r="BY50" s="76">
        <f t="shared" si="5"/>
        <v>1.0339393939393939</v>
      </c>
      <c r="BZ50" s="76">
        <f t="shared" si="6"/>
        <v>2.2383720930232558</v>
      </c>
      <c r="CA50" s="78">
        <v>0.86</v>
      </c>
    </row>
    <row r="51" spans="2:79">
      <c r="AM51" s="102">
        <f t="shared" si="0"/>
        <v>0.98</v>
      </c>
      <c r="AN51" s="103">
        <f t="shared" si="1"/>
        <v>0.62428571428571433</v>
      </c>
      <c r="AP51" s="104">
        <f t="shared" si="2"/>
        <v>0.98</v>
      </c>
      <c r="AQ51" s="105">
        <f t="shared" si="3"/>
        <v>2.0809523809523811</v>
      </c>
      <c r="AR51" s="97"/>
      <c r="BW51" s="77">
        <f t="shared" si="4"/>
        <v>0.68130681818181815</v>
      </c>
      <c r="BX51" s="77">
        <f t="shared" si="7"/>
        <v>2.2710227272727272</v>
      </c>
      <c r="BY51" s="76">
        <f t="shared" si="5"/>
        <v>1.0381818181818181</v>
      </c>
      <c r="BZ51" s="76">
        <f t="shared" si="6"/>
        <v>2.1875</v>
      </c>
      <c r="CA51" s="78">
        <v>0.88</v>
      </c>
    </row>
    <row r="52" spans="2:79">
      <c r="AM52" s="102">
        <f t="shared" si="0"/>
        <v>1</v>
      </c>
      <c r="AN52" s="103">
        <f t="shared" si="1"/>
        <v>0.61424999999999996</v>
      </c>
      <c r="AP52" s="104">
        <f t="shared" si="2"/>
        <v>1</v>
      </c>
      <c r="AQ52" s="105">
        <f t="shared" si="3"/>
        <v>2.0474999999999999</v>
      </c>
      <c r="AR52" s="97"/>
      <c r="BW52" s="77">
        <f t="shared" si="4"/>
        <v>0.66888888888888876</v>
      </c>
      <c r="BX52" s="77">
        <f t="shared" si="7"/>
        <v>2.2296296296296294</v>
      </c>
      <c r="BY52" s="76">
        <f t="shared" si="5"/>
        <v>1.0424242424242425</v>
      </c>
      <c r="BZ52" s="76">
        <f t="shared" si="6"/>
        <v>2.1388888888888884</v>
      </c>
      <c r="CA52" s="78">
        <v>0.9</v>
      </c>
    </row>
    <row r="53" spans="2:79" ht="12.15" customHeight="1">
      <c r="AM53" s="102">
        <f t="shared" si="0"/>
        <v>1.02</v>
      </c>
      <c r="AN53" s="103">
        <f t="shared" si="1"/>
        <v>0.60460784313725469</v>
      </c>
      <c r="AP53" s="104">
        <f t="shared" si="2"/>
        <v>1.02</v>
      </c>
      <c r="AQ53" s="105">
        <f t="shared" si="3"/>
        <v>2.0153594771241825</v>
      </c>
      <c r="AR53" s="97"/>
      <c r="BW53" s="77">
        <f t="shared" si="4"/>
        <v>0.65701086956521715</v>
      </c>
      <c r="BX53" s="77">
        <f t="shared" si="7"/>
        <v>2.1900362318840574</v>
      </c>
      <c r="BY53" s="76">
        <f t="shared" si="5"/>
        <v>1.0466666666666666</v>
      </c>
      <c r="BZ53" s="76">
        <f t="shared" si="6"/>
        <v>2.0923913043478257</v>
      </c>
      <c r="CA53" s="78">
        <v>0.92</v>
      </c>
    </row>
    <row r="54" spans="2:79" ht="9.75" customHeight="1">
      <c r="AM54" s="102">
        <f t="shared" si="0"/>
        <v>1.04</v>
      </c>
      <c r="AN54" s="103">
        <f t="shared" si="1"/>
        <v>0.59533653846153844</v>
      </c>
      <c r="AP54" s="104">
        <f t="shared" si="2"/>
        <v>1.04</v>
      </c>
      <c r="AQ54" s="105">
        <f t="shared" si="3"/>
        <v>1.9844551282051284</v>
      </c>
      <c r="AR54" s="97"/>
      <c r="BW54" s="77">
        <f t="shared" si="4"/>
        <v>0.64563829787234028</v>
      </c>
      <c r="BX54" s="77">
        <f t="shared" si="7"/>
        <v>2.1521276595744676</v>
      </c>
      <c r="BY54" s="76">
        <f t="shared" si="5"/>
        <v>1.0509090909090908</v>
      </c>
      <c r="BZ54" s="76">
        <f t="shared" si="6"/>
        <v>2.0478723404255317</v>
      </c>
      <c r="CA54" s="78">
        <v>0.94</v>
      </c>
    </row>
    <row r="55" spans="2:79" ht="15" customHeight="1">
      <c r="AM55" s="102">
        <f t="shared" si="0"/>
        <v>1.06</v>
      </c>
      <c r="AN55" s="103">
        <f t="shared" si="1"/>
        <v>0.58641509433962258</v>
      </c>
      <c r="AP55" s="104">
        <f t="shared" si="2"/>
        <v>1.06</v>
      </c>
      <c r="AQ55" s="105">
        <f t="shared" si="3"/>
        <v>1.9547169811320755</v>
      </c>
      <c r="AR55" s="97"/>
      <c r="BW55" s="77">
        <f t="shared" si="4"/>
        <v>0.63473958333333325</v>
      </c>
      <c r="BX55" s="77">
        <f t="shared" si="7"/>
        <v>2.1157986111111109</v>
      </c>
      <c r="BY55" s="76">
        <f t="shared" si="5"/>
        <v>1.0551515151515152</v>
      </c>
      <c r="BZ55" s="76">
        <f t="shared" si="6"/>
        <v>2.005208333333333</v>
      </c>
      <c r="CA55" s="78">
        <v>0.96</v>
      </c>
    </row>
    <row r="56" spans="2:79" ht="15" customHeight="1">
      <c r="AM56" s="102">
        <f t="shared" si="0"/>
        <v>1.08</v>
      </c>
      <c r="AN56" s="103">
        <f t="shared" si="1"/>
        <v>0.57782407407407388</v>
      </c>
      <c r="AP56" s="104">
        <f t="shared" si="2"/>
        <v>1.08</v>
      </c>
      <c r="AQ56" s="105">
        <f t="shared" si="3"/>
        <v>1.9260802469135798</v>
      </c>
      <c r="AR56" s="97"/>
      <c r="BW56" s="77">
        <f t="shared" si="4"/>
        <v>0.62428571428571433</v>
      </c>
      <c r="BX56" s="77">
        <f t="shared" si="7"/>
        <v>2.0809523809523811</v>
      </c>
      <c r="BY56" s="76">
        <f t="shared" si="5"/>
        <v>1.0593939393939393</v>
      </c>
      <c r="BZ56" s="76">
        <f t="shared" si="6"/>
        <v>1.9642857142857144</v>
      </c>
      <c r="CA56" s="78">
        <v>0.98</v>
      </c>
    </row>
    <row r="57" spans="2:79" ht="15" customHeight="1">
      <c r="AM57" s="102">
        <f t="shared" si="0"/>
        <v>1.1000000000000001</v>
      </c>
      <c r="AN57" s="103">
        <f t="shared" si="1"/>
        <v>0.56954545454545447</v>
      </c>
      <c r="AP57" s="104">
        <f t="shared" si="2"/>
        <v>1.1000000000000001</v>
      </c>
      <c r="AQ57" s="105">
        <f t="shared" si="3"/>
        <v>1.8984848484848482</v>
      </c>
      <c r="AR57" s="97"/>
      <c r="BW57" s="77">
        <f t="shared" si="4"/>
        <v>0.61424999999999996</v>
      </c>
      <c r="BX57" s="77">
        <f t="shared" si="7"/>
        <v>2.0474999999999999</v>
      </c>
      <c r="BY57" s="76">
        <f t="shared" si="5"/>
        <v>1.0636363636363637</v>
      </c>
      <c r="BZ57" s="76">
        <f t="shared" si="6"/>
        <v>1.9249999999999998</v>
      </c>
      <c r="CA57" s="78">
        <v>1</v>
      </c>
    </row>
    <row r="58" spans="2:79" ht="15" customHeight="1">
      <c r="AM58" s="102">
        <f t="shared" si="0"/>
        <v>1.1200000000000001</v>
      </c>
      <c r="AN58" s="103">
        <f t="shared" si="1"/>
        <v>0.56156249999999985</v>
      </c>
      <c r="AP58" s="104">
        <f t="shared" si="2"/>
        <v>1.1200000000000001</v>
      </c>
      <c r="AQ58" s="105">
        <f t="shared" si="3"/>
        <v>1.8718749999999997</v>
      </c>
      <c r="AR58" s="97"/>
      <c r="BW58" s="77">
        <f t="shared" si="4"/>
        <v>0.60460784313725469</v>
      </c>
      <c r="BX58" s="77">
        <f t="shared" si="7"/>
        <v>2.0153594771241825</v>
      </c>
      <c r="BY58" s="76">
        <f t="shared" si="5"/>
        <v>1.0678787878787879</v>
      </c>
      <c r="BZ58" s="76">
        <f t="shared" si="6"/>
        <v>1.887254901960784</v>
      </c>
      <c r="CA58" s="78">
        <v>1.02</v>
      </c>
    </row>
    <row r="59" spans="2:79" ht="15" customHeight="1">
      <c r="AM59" s="102">
        <f t="shared" si="0"/>
        <v>1.1399999999999999</v>
      </c>
      <c r="AN59" s="103">
        <f t="shared" si="1"/>
        <v>0.55385964912280694</v>
      </c>
      <c r="AP59" s="104">
        <f t="shared" si="2"/>
        <v>1.1399999999999999</v>
      </c>
      <c r="AQ59" s="105">
        <f t="shared" si="3"/>
        <v>1.8461988304093566</v>
      </c>
      <c r="AR59" s="97"/>
      <c r="BW59" s="77">
        <f t="shared" si="4"/>
        <v>0.59533653846153844</v>
      </c>
      <c r="BX59" s="77">
        <f t="shared" si="7"/>
        <v>1.9844551282051284</v>
      </c>
      <c r="BY59" s="76">
        <f t="shared" si="5"/>
        <v>1.0721212121212123</v>
      </c>
      <c r="BZ59" s="76">
        <f t="shared" si="6"/>
        <v>1.8509615384615383</v>
      </c>
      <c r="CA59" s="78">
        <v>1.04</v>
      </c>
    </row>
    <row r="60" spans="2:79" ht="18.75" customHeight="1">
      <c r="AM60" s="102">
        <f t="shared" si="0"/>
        <v>1.1599999999999999</v>
      </c>
      <c r="AN60" s="103">
        <f t="shared" si="1"/>
        <v>0.54642241379310341</v>
      </c>
      <c r="AP60" s="104">
        <f t="shared" si="2"/>
        <v>1.1599999999999999</v>
      </c>
      <c r="AQ60" s="105">
        <f t="shared" si="3"/>
        <v>1.8214080459770114</v>
      </c>
      <c r="AR60" s="97"/>
      <c r="BW60" s="77">
        <f t="shared" si="4"/>
        <v>0.58641509433962258</v>
      </c>
      <c r="BX60" s="77">
        <f t="shared" si="7"/>
        <v>1.9547169811320755</v>
      </c>
      <c r="BY60" s="76">
        <f t="shared" si="5"/>
        <v>1.0763636363636364</v>
      </c>
      <c r="BZ60" s="76">
        <f t="shared" si="6"/>
        <v>1.8160377358490565</v>
      </c>
      <c r="CA60" s="78">
        <v>1.06</v>
      </c>
    </row>
    <row r="61" spans="2:79" ht="17.399999999999999" customHeight="1">
      <c r="AM61" s="102">
        <f t="shared" si="0"/>
        <v>1.18</v>
      </c>
      <c r="AN61" s="103">
        <f t="shared" si="1"/>
        <v>0.53923728813559313</v>
      </c>
      <c r="AP61" s="104">
        <f t="shared" si="2"/>
        <v>1.18</v>
      </c>
      <c r="AQ61" s="105">
        <f t="shared" si="3"/>
        <v>1.797457627118644</v>
      </c>
      <c r="AR61" s="97"/>
      <c r="BW61" s="77">
        <f t="shared" si="4"/>
        <v>0.57782407407407388</v>
      </c>
      <c r="BX61" s="77">
        <f t="shared" si="7"/>
        <v>1.9260802469135798</v>
      </c>
      <c r="BY61" s="76">
        <f t="shared" si="5"/>
        <v>1.0806060606060606</v>
      </c>
      <c r="BZ61" s="76">
        <f t="shared" si="6"/>
        <v>1.782407407407407</v>
      </c>
      <c r="CA61" s="78">
        <v>1.08</v>
      </c>
    </row>
    <row r="62" spans="2:79" ht="17.399999999999999" customHeight="1">
      <c r="AM62" s="102">
        <f t="shared" si="0"/>
        <v>1.2</v>
      </c>
      <c r="AN62" s="103">
        <f t="shared" si="1"/>
        <v>0.53229166666666661</v>
      </c>
      <c r="AP62" s="104">
        <f t="shared" si="2"/>
        <v>1.2</v>
      </c>
      <c r="AQ62" s="105">
        <f t="shared" si="3"/>
        <v>1.7743055555555556</v>
      </c>
      <c r="AR62" s="97"/>
      <c r="BW62" s="77">
        <f t="shared" si="4"/>
        <v>0.56954545454545447</v>
      </c>
      <c r="BX62" s="77">
        <f t="shared" si="7"/>
        <v>1.8984848484848482</v>
      </c>
      <c r="BY62" s="76">
        <f t="shared" si="5"/>
        <v>1.084848484848485</v>
      </c>
      <c r="BZ62" s="76">
        <f t="shared" si="6"/>
        <v>1.7499999999999996</v>
      </c>
      <c r="CA62" s="78">
        <v>1.1000000000000001</v>
      </c>
    </row>
    <row r="63" spans="2:79" ht="17.399999999999999" customHeight="1">
      <c r="AM63" s="102">
        <f t="shared" si="0"/>
        <v>1.22</v>
      </c>
      <c r="AN63" s="103">
        <f t="shared" si="1"/>
        <v>0.5255737704918032</v>
      </c>
      <c r="AP63" s="104">
        <f t="shared" si="2"/>
        <v>1.22</v>
      </c>
      <c r="AQ63" s="105">
        <f t="shared" si="3"/>
        <v>1.7519125683060108</v>
      </c>
      <c r="AR63" s="97"/>
      <c r="BW63" s="77">
        <f t="shared" si="4"/>
        <v>0.56156249999999985</v>
      </c>
      <c r="BX63" s="77">
        <f t="shared" si="7"/>
        <v>1.8718749999999997</v>
      </c>
      <c r="BY63" s="76">
        <f t="shared" si="5"/>
        <v>1.0890909090909091</v>
      </c>
      <c r="BZ63" s="76">
        <f t="shared" si="6"/>
        <v>1.7187499999999998</v>
      </c>
      <c r="CA63" s="78">
        <v>1.1200000000000001</v>
      </c>
    </row>
    <row r="64" spans="2:79" ht="17.399999999999999" customHeight="1">
      <c r="AM64" s="102">
        <f t="shared" si="0"/>
        <v>1.24</v>
      </c>
      <c r="AN64" s="103">
        <f t="shared" si="1"/>
        <v>0.51907258064516115</v>
      </c>
      <c r="AP64" s="104">
        <f t="shared" si="2"/>
        <v>1.24</v>
      </c>
      <c r="AQ64" s="105">
        <f t="shared" si="3"/>
        <v>1.7302419354838707</v>
      </c>
      <c r="AR64" s="97"/>
      <c r="BW64" s="77">
        <f t="shared" si="4"/>
        <v>0.55385964912280694</v>
      </c>
      <c r="BX64" s="77">
        <f t="shared" si="7"/>
        <v>1.8461988304093566</v>
      </c>
      <c r="BY64" s="76">
        <f t="shared" si="5"/>
        <v>1.0933333333333333</v>
      </c>
      <c r="BZ64" s="76">
        <f t="shared" si="6"/>
        <v>1.6885964912280702</v>
      </c>
      <c r="CA64" s="78">
        <v>1.1399999999999999</v>
      </c>
    </row>
    <row r="65" spans="39:79" ht="17.399999999999999" customHeight="1">
      <c r="AM65" s="102">
        <f t="shared" si="0"/>
        <v>1.26</v>
      </c>
      <c r="AN65" s="103">
        <f t="shared" si="1"/>
        <v>0.51277777777777767</v>
      </c>
      <c r="AP65" s="104">
        <f t="shared" si="2"/>
        <v>1.26</v>
      </c>
      <c r="AQ65" s="105">
        <f t="shared" si="3"/>
        <v>1.709259259259259</v>
      </c>
      <c r="AR65" s="97"/>
      <c r="BW65" s="77">
        <f t="shared" si="4"/>
        <v>0.54642241379310341</v>
      </c>
      <c r="BX65" s="77">
        <f t="shared" si="7"/>
        <v>1.8214080459770114</v>
      </c>
      <c r="BY65" s="76">
        <f t="shared" si="5"/>
        <v>1.0975757575757576</v>
      </c>
      <c r="BZ65" s="76">
        <f t="shared" si="6"/>
        <v>1.6594827586206895</v>
      </c>
      <c r="CA65" s="78">
        <v>1.1599999999999999</v>
      </c>
    </row>
    <row r="66" spans="39:79" ht="17.399999999999999" customHeight="1">
      <c r="AM66" s="102">
        <f t="shared" ref="AM66:AM129" si="8">CA71</f>
        <v>1.28</v>
      </c>
      <c r="AN66" s="103">
        <f t="shared" ref="AN66:AN129" si="9">BW71</f>
        <v>0.50667968750000003</v>
      </c>
      <c r="AP66" s="104">
        <f t="shared" ref="AP66:AP129" si="10">CA71</f>
        <v>1.28</v>
      </c>
      <c r="AQ66" s="105">
        <f t="shared" ref="AQ66:AQ129" si="11">BX71</f>
        <v>1.6889322916666667</v>
      </c>
      <c r="AR66" s="97"/>
      <c r="BW66" s="77">
        <f t="shared" si="4"/>
        <v>0.53923728813559313</v>
      </c>
      <c r="BX66" s="77">
        <f t="shared" si="7"/>
        <v>1.797457627118644</v>
      </c>
      <c r="BY66" s="76">
        <f t="shared" si="5"/>
        <v>1.1018181818181818</v>
      </c>
      <c r="BZ66" s="76">
        <f t="shared" si="6"/>
        <v>1.6313559322033897</v>
      </c>
      <c r="CA66" s="78">
        <v>1.18</v>
      </c>
    </row>
    <row r="67" spans="39:79" ht="6" customHeight="1">
      <c r="AM67" s="102">
        <f t="shared" si="8"/>
        <v>1.3</v>
      </c>
      <c r="AN67" s="103">
        <f t="shared" si="9"/>
        <v>0.50076923076923063</v>
      </c>
      <c r="AP67" s="104">
        <f t="shared" si="10"/>
        <v>1.3</v>
      </c>
      <c r="AQ67" s="105">
        <f t="shared" si="11"/>
        <v>1.6692307692307689</v>
      </c>
      <c r="AR67" s="97"/>
      <c r="BW67" s="77">
        <f t="shared" si="4"/>
        <v>0.53229166666666661</v>
      </c>
      <c r="BX67" s="77">
        <f t="shared" si="7"/>
        <v>1.7743055555555556</v>
      </c>
      <c r="BY67" s="76">
        <f t="shared" si="5"/>
        <v>1.106060606060606</v>
      </c>
      <c r="BZ67" s="76">
        <f t="shared" si="6"/>
        <v>1.6041666666666667</v>
      </c>
      <c r="CA67" s="78">
        <v>1.2</v>
      </c>
    </row>
    <row r="68" spans="39:79" ht="15" customHeight="1">
      <c r="AM68" s="102">
        <f t="shared" si="8"/>
        <v>1.32</v>
      </c>
      <c r="AN68" s="103">
        <f t="shared" si="9"/>
        <v>0.4950378787878788</v>
      </c>
      <c r="AP68" s="104">
        <f t="shared" si="10"/>
        <v>1.32</v>
      </c>
      <c r="AQ68" s="105">
        <f t="shared" si="11"/>
        <v>1.6501262626262627</v>
      </c>
      <c r="AR68" s="97"/>
      <c r="BW68" s="77">
        <f t="shared" si="4"/>
        <v>0.5255737704918032</v>
      </c>
      <c r="BX68" s="77">
        <f t="shared" si="7"/>
        <v>1.7519125683060108</v>
      </c>
      <c r="BY68" s="76">
        <f t="shared" si="5"/>
        <v>1.1103030303030303</v>
      </c>
      <c r="BZ68" s="76">
        <f t="shared" si="6"/>
        <v>1.5778688524590163</v>
      </c>
      <c r="CA68" s="78">
        <v>1.22</v>
      </c>
    </row>
    <row r="69" spans="39:79">
      <c r="AM69" s="102">
        <f t="shared" si="8"/>
        <v>1.34</v>
      </c>
      <c r="AN69" s="103">
        <f t="shared" si="9"/>
        <v>0.48947761194029837</v>
      </c>
      <c r="AP69" s="104">
        <f t="shared" si="10"/>
        <v>1.34</v>
      </c>
      <c r="AQ69" s="105">
        <f t="shared" si="11"/>
        <v>1.6315920398009947</v>
      </c>
      <c r="AR69" s="97"/>
      <c r="BW69" s="77">
        <f t="shared" si="4"/>
        <v>0.51907258064516115</v>
      </c>
      <c r="BX69" s="77">
        <f t="shared" si="7"/>
        <v>1.7302419354838707</v>
      </c>
      <c r="BY69" s="76">
        <f t="shared" si="5"/>
        <v>1.1145454545454545</v>
      </c>
      <c r="BZ69" s="76">
        <f t="shared" si="6"/>
        <v>1.5524193548387095</v>
      </c>
      <c r="CA69" s="78">
        <v>1.24</v>
      </c>
    </row>
    <row r="70" spans="39:79">
      <c r="AM70" s="102">
        <f t="shared" si="8"/>
        <v>1.36</v>
      </c>
      <c r="AN70" s="103">
        <f t="shared" si="9"/>
        <v>0.48408088235294111</v>
      </c>
      <c r="AP70" s="104">
        <f t="shared" si="10"/>
        <v>1.36</v>
      </c>
      <c r="AQ70" s="105">
        <f t="shared" si="11"/>
        <v>1.6136029411764705</v>
      </c>
      <c r="AR70" s="97"/>
      <c r="BW70" s="77">
        <f t="shared" si="4"/>
        <v>0.51277777777777767</v>
      </c>
      <c r="BX70" s="77">
        <f t="shared" si="7"/>
        <v>1.709259259259259</v>
      </c>
      <c r="BY70" s="76">
        <f t="shared" si="5"/>
        <v>1.1187878787878789</v>
      </c>
      <c r="BZ70" s="76">
        <f t="shared" si="6"/>
        <v>1.5277777777777775</v>
      </c>
      <c r="CA70" s="78">
        <v>1.26</v>
      </c>
    </row>
    <row r="71" spans="39:79">
      <c r="AM71" s="102">
        <f t="shared" si="8"/>
        <v>1.38</v>
      </c>
      <c r="AN71" s="103">
        <f t="shared" si="9"/>
        <v>0.47884057971014504</v>
      </c>
      <c r="AP71" s="104">
        <f t="shared" si="10"/>
        <v>1.38</v>
      </c>
      <c r="AQ71" s="105">
        <f t="shared" si="11"/>
        <v>1.5961352657004835</v>
      </c>
      <c r="AR71" s="97"/>
      <c r="BW71" s="77">
        <f t="shared" ref="BW71:BW134" si="12">C$18*BX71</f>
        <v>0.50667968750000003</v>
      </c>
      <c r="BX71" s="77">
        <f t="shared" si="7"/>
        <v>1.6889322916666667</v>
      </c>
      <c r="BY71" s="76">
        <f t="shared" ref="BY71:BY134" si="13">IF(AND(OR(T$16=BD$6,T$16=BD$7),OR(CA71&lt;_xlfn.NUMBERVALUE(V$20),CA71=_xlfn.NUMBERVALUE(V$20))),1,IF(AND(OR(T$16=BD$6,T$16=BD$7),CA71&gt;_xlfn.NUMBERVALUE(V$20),CA71&lt;4),((0.7*(CA71-V$20)/(4-V$20))+1),IF(AND(OR(T$16=BD$6,T$16=BD$7),OR(CA71&gt;4,CA71=4)),1.7,IF(AND(OR(T$16=BD$8,T$16=BD$9),OR(CA71&lt;_xlfn.NUMBERVALUE(V$20),CA71=_xlfn.NUMBERVALUE(V$20))),1,IF(AND(OR(T$16=BD$8,T$16=BD$9),CA71&gt;_xlfn.NUMBERVALUE(V$20),CA71&lt;4),((0.4*(CA71-V$20)/(4-V$20))+1),IF(AND(OR(T$16=BD$8,T$16=BD$9),OR(CA71&gt;4,CA71=4)),1.4,"Error"))))))</f>
        <v>1.123030303030303</v>
      </c>
      <c r="BZ71" s="76">
        <f t="shared" ref="BZ71:BZ134" si="14">IF(OR(CA71&lt;_xlfn.NUMBERVALUE(AH$20),CA71=_xlfn.NUMBERVALUE(AH$20)),(C$20+((K$20-C$20+1)*(CA71/AH$20))),IF(AND(CA71&gt;_xlfn.NUMBERVALUE(AH$20),CA71&lt;_xlfn.NUMBERVALUE(V$20)),(K$20+1),IF(OR(CA71&gt;_xlfn.NUMBERVALUE(V$20),CA71=_xlfn.NUMBERVALUE(V$20)),((K$20+1)*(V$20/CA71)),"Errot")))</f>
        <v>1.50390625</v>
      </c>
      <c r="CA71" s="78">
        <v>1.28</v>
      </c>
    </row>
    <row r="72" spans="39:79">
      <c r="AM72" s="102">
        <f t="shared" si="8"/>
        <v>1.4</v>
      </c>
      <c r="AN72" s="103">
        <f t="shared" si="9"/>
        <v>0.47374999999999995</v>
      </c>
      <c r="AP72" s="104">
        <f t="shared" si="10"/>
        <v>1.4</v>
      </c>
      <c r="AQ72" s="105">
        <f t="shared" si="11"/>
        <v>1.5791666666666666</v>
      </c>
      <c r="AR72" s="97"/>
      <c r="BW72" s="77">
        <f t="shared" si="12"/>
        <v>0.50076923076923063</v>
      </c>
      <c r="BX72" s="77">
        <f t="shared" ref="BX72:BX135" si="15">BZ72*BY72</f>
        <v>1.6692307692307689</v>
      </c>
      <c r="BY72" s="76">
        <f t="shared" si="13"/>
        <v>1.1272727272727272</v>
      </c>
      <c r="BZ72" s="76">
        <f t="shared" si="14"/>
        <v>1.4807692307692306</v>
      </c>
      <c r="CA72" s="78">
        <v>1.3</v>
      </c>
    </row>
    <row r="73" spans="39:79">
      <c r="AM73" s="102">
        <f t="shared" si="8"/>
        <v>1.42</v>
      </c>
      <c r="AN73" s="103">
        <f t="shared" si="9"/>
        <v>0.46880281690140851</v>
      </c>
      <c r="AP73" s="104">
        <f t="shared" si="10"/>
        <v>1.42</v>
      </c>
      <c r="AQ73" s="105">
        <f t="shared" si="11"/>
        <v>1.5626760563380284</v>
      </c>
      <c r="AR73" s="97"/>
      <c r="BW73" s="77">
        <f t="shared" si="12"/>
        <v>0.4950378787878788</v>
      </c>
      <c r="BX73" s="77">
        <f t="shared" si="15"/>
        <v>1.6501262626262627</v>
      </c>
      <c r="BY73" s="76">
        <f t="shared" si="13"/>
        <v>1.1315151515151516</v>
      </c>
      <c r="BZ73" s="76">
        <f t="shared" si="14"/>
        <v>1.4583333333333333</v>
      </c>
      <c r="CA73" s="78">
        <v>1.32</v>
      </c>
    </row>
    <row r="74" spans="39:79">
      <c r="AM74" s="102">
        <f t="shared" si="8"/>
        <v>1.44</v>
      </c>
      <c r="AN74" s="103">
        <f t="shared" si="9"/>
        <v>0.46399305555555553</v>
      </c>
      <c r="AP74" s="104">
        <f t="shared" si="10"/>
        <v>1.44</v>
      </c>
      <c r="AQ74" s="105">
        <f t="shared" si="11"/>
        <v>1.5466435185185186</v>
      </c>
      <c r="AR74" s="97"/>
      <c r="BW74" s="77">
        <f t="shared" si="12"/>
        <v>0.48947761194029837</v>
      </c>
      <c r="BX74" s="77">
        <f t="shared" si="15"/>
        <v>1.6315920398009947</v>
      </c>
      <c r="BY74" s="76">
        <f t="shared" si="13"/>
        <v>1.1357575757575757</v>
      </c>
      <c r="BZ74" s="76">
        <f t="shared" si="14"/>
        <v>1.4365671641791042</v>
      </c>
      <c r="CA74" s="78">
        <v>1.34</v>
      </c>
    </row>
    <row r="75" spans="39:79">
      <c r="AM75" s="102">
        <f t="shared" si="8"/>
        <v>1.46</v>
      </c>
      <c r="AN75" s="103">
        <f t="shared" si="9"/>
        <v>0.45931506849315062</v>
      </c>
      <c r="AP75" s="104">
        <f t="shared" si="10"/>
        <v>1.46</v>
      </c>
      <c r="AQ75" s="105">
        <f t="shared" si="11"/>
        <v>1.5310502283105021</v>
      </c>
      <c r="AR75" s="97"/>
      <c r="BW75" s="77">
        <f t="shared" si="12"/>
        <v>0.48408088235294111</v>
      </c>
      <c r="BX75" s="77">
        <f t="shared" si="15"/>
        <v>1.6136029411764705</v>
      </c>
      <c r="BY75" s="76">
        <f t="shared" si="13"/>
        <v>1.1400000000000001</v>
      </c>
      <c r="BZ75" s="76">
        <f t="shared" si="14"/>
        <v>1.4154411764705881</v>
      </c>
      <c r="CA75" s="78">
        <v>1.36</v>
      </c>
    </row>
    <row r="76" spans="39:79">
      <c r="AM76" s="102">
        <f t="shared" si="8"/>
        <v>1.48</v>
      </c>
      <c r="AN76" s="103">
        <f t="shared" si="9"/>
        <v>0.45476351351351352</v>
      </c>
      <c r="AP76" s="104">
        <f t="shared" si="10"/>
        <v>1.48</v>
      </c>
      <c r="AQ76" s="105">
        <f t="shared" si="11"/>
        <v>1.5158783783783785</v>
      </c>
      <c r="AR76" s="97"/>
      <c r="BW76" s="77">
        <f t="shared" si="12"/>
        <v>0.47884057971014504</v>
      </c>
      <c r="BX76" s="77">
        <f t="shared" si="15"/>
        <v>1.5961352657004835</v>
      </c>
      <c r="BY76" s="76">
        <f t="shared" si="13"/>
        <v>1.1442424242424243</v>
      </c>
      <c r="BZ76" s="76">
        <f t="shared" si="14"/>
        <v>1.3949275362318843</v>
      </c>
      <c r="CA76" s="78">
        <v>1.38</v>
      </c>
    </row>
    <row r="77" spans="39:79">
      <c r="AM77" s="102">
        <f t="shared" si="8"/>
        <v>1.5</v>
      </c>
      <c r="AN77" s="103">
        <f t="shared" si="9"/>
        <v>0.45033333333333325</v>
      </c>
      <c r="AP77" s="104">
        <f t="shared" si="10"/>
        <v>1.5</v>
      </c>
      <c r="AQ77" s="105">
        <f t="shared" si="11"/>
        <v>1.5011111111111108</v>
      </c>
      <c r="AR77" s="97"/>
      <c r="BW77" s="77">
        <f t="shared" si="12"/>
        <v>0.47374999999999995</v>
      </c>
      <c r="BX77" s="77">
        <f t="shared" si="15"/>
        <v>1.5791666666666666</v>
      </c>
      <c r="BY77" s="76">
        <f t="shared" si="13"/>
        <v>1.1484848484848484</v>
      </c>
      <c r="BZ77" s="76">
        <f t="shared" si="14"/>
        <v>1.375</v>
      </c>
      <c r="CA77" s="78">
        <v>1.4</v>
      </c>
    </row>
    <row r="78" spans="39:79">
      <c r="AM78" s="102">
        <f t="shared" si="8"/>
        <v>1.52</v>
      </c>
      <c r="AN78" s="103">
        <f t="shared" si="9"/>
        <v>0.44601973684210522</v>
      </c>
      <c r="AP78" s="104">
        <f t="shared" si="10"/>
        <v>1.52</v>
      </c>
      <c r="AQ78" s="105">
        <f t="shared" si="11"/>
        <v>1.4867324561403508</v>
      </c>
      <c r="AR78" s="97"/>
      <c r="BW78" s="77">
        <f t="shared" si="12"/>
        <v>0.46880281690140851</v>
      </c>
      <c r="BX78" s="77">
        <f t="shared" si="15"/>
        <v>1.5626760563380284</v>
      </c>
      <c r="BY78" s="76">
        <f t="shared" si="13"/>
        <v>1.1527272727272728</v>
      </c>
      <c r="BZ78" s="76">
        <f t="shared" si="14"/>
        <v>1.3556338028169015</v>
      </c>
      <c r="CA78" s="78">
        <v>1.42</v>
      </c>
    </row>
    <row r="79" spans="39:79">
      <c r="AM79" s="102">
        <f t="shared" si="8"/>
        <v>1.54</v>
      </c>
      <c r="AN79" s="103">
        <f t="shared" si="9"/>
        <v>0.44181818181818178</v>
      </c>
      <c r="AP79" s="104">
        <f t="shared" si="10"/>
        <v>1.54</v>
      </c>
      <c r="AQ79" s="105">
        <f t="shared" si="11"/>
        <v>1.4727272727272727</v>
      </c>
      <c r="AR79" s="97"/>
      <c r="BW79" s="77">
        <f t="shared" si="12"/>
        <v>0.46399305555555553</v>
      </c>
      <c r="BX79" s="77">
        <f t="shared" si="15"/>
        <v>1.5466435185185186</v>
      </c>
      <c r="BY79" s="76">
        <f t="shared" si="13"/>
        <v>1.156969696969697</v>
      </c>
      <c r="BZ79" s="76">
        <f t="shared" si="14"/>
        <v>1.3368055555555556</v>
      </c>
      <c r="CA79" s="78">
        <v>1.44</v>
      </c>
    </row>
    <row r="80" spans="39:79">
      <c r="AM80" s="102">
        <f t="shared" si="8"/>
        <v>1.56</v>
      </c>
      <c r="AN80" s="103">
        <f t="shared" si="9"/>
        <v>0.43772435897435885</v>
      </c>
      <c r="AP80" s="104">
        <f t="shared" si="10"/>
        <v>1.56</v>
      </c>
      <c r="AQ80" s="105">
        <f t="shared" si="11"/>
        <v>1.4590811965811963</v>
      </c>
      <c r="AR80" s="97"/>
      <c r="BW80" s="77">
        <f t="shared" si="12"/>
        <v>0.45931506849315062</v>
      </c>
      <c r="BX80" s="77">
        <f t="shared" si="15"/>
        <v>1.5310502283105021</v>
      </c>
      <c r="BY80" s="76">
        <f t="shared" si="13"/>
        <v>1.1612121212121211</v>
      </c>
      <c r="BZ80" s="76">
        <f t="shared" si="14"/>
        <v>1.3184931506849313</v>
      </c>
      <c r="CA80" s="78">
        <v>1.46</v>
      </c>
    </row>
    <row r="81" spans="39:79">
      <c r="AM81" s="102">
        <f t="shared" si="8"/>
        <v>1.58</v>
      </c>
      <c r="AN81" s="103">
        <f t="shared" si="9"/>
        <v>0.43373417721518986</v>
      </c>
      <c r="AP81" s="104">
        <f t="shared" si="10"/>
        <v>1.58</v>
      </c>
      <c r="AQ81" s="105">
        <f t="shared" si="11"/>
        <v>1.4457805907172996</v>
      </c>
      <c r="AR81" s="97"/>
      <c r="BW81" s="77">
        <f t="shared" si="12"/>
        <v>0.45476351351351352</v>
      </c>
      <c r="BX81" s="77">
        <f t="shared" si="15"/>
        <v>1.5158783783783785</v>
      </c>
      <c r="BY81" s="76">
        <f t="shared" si="13"/>
        <v>1.1654545454545455</v>
      </c>
      <c r="BZ81" s="76">
        <f t="shared" si="14"/>
        <v>1.3006756756756757</v>
      </c>
      <c r="CA81" s="78">
        <v>1.48</v>
      </c>
    </row>
    <row r="82" spans="39:79">
      <c r="AM82" s="102">
        <f t="shared" si="8"/>
        <v>1.6</v>
      </c>
      <c r="AN82" s="103">
        <f t="shared" si="9"/>
        <v>0.42984374999999991</v>
      </c>
      <c r="AP82" s="104">
        <f t="shared" si="10"/>
        <v>1.6</v>
      </c>
      <c r="AQ82" s="105">
        <f t="shared" si="11"/>
        <v>1.4328124999999998</v>
      </c>
      <c r="AR82" s="97"/>
      <c r="BW82" s="77">
        <f t="shared" si="12"/>
        <v>0.45033333333333325</v>
      </c>
      <c r="BX82" s="77">
        <f t="shared" si="15"/>
        <v>1.5011111111111108</v>
      </c>
      <c r="BY82" s="76">
        <f t="shared" si="13"/>
        <v>1.1696969696969697</v>
      </c>
      <c r="BZ82" s="76">
        <f t="shared" si="14"/>
        <v>1.2833333333333332</v>
      </c>
      <c r="CA82" s="78">
        <v>1.5</v>
      </c>
    </row>
    <row r="83" spans="39:79">
      <c r="AM83" s="102">
        <f t="shared" si="8"/>
        <v>1.62</v>
      </c>
      <c r="AN83" s="103">
        <f t="shared" si="9"/>
        <v>0.42604938271604925</v>
      </c>
      <c r="AP83" s="104">
        <f t="shared" si="10"/>
        <v>1.62</v>
      </c>
      <c r="AQ83" s="105">
        <f t="shared" si="11"/>
        <v>1.4201646090534976</v>
      </c>
      <c r="AR83" s="97"/>
      <c r="BW83" s="77">
        <f t="shared" si="12"/>
        <v>0.44601973684210522</v>
      </c>
      <c r="BX83" s="77">
        <f t="shared" si="15"/>
        <v>1.4867324561403508</v>
      </c>
      <c r="BY83" s="76">
        <f t="shared" si="13"/>
        <v>1.1739393939393938</v>
      </c>
      <c r="BZ83" s="76">
        <f t="shared" si="14"/>
        <v>1.2664473684210527</v>
      </c>
      <c r="CA83" s="78">
        <v>1.52</v>
      </c>
    </row>
    <row r="84" spans="39:79">
      <c r="AM84" s="102">
        <f t="shared" si="8"/>
        <v>1.64</v>
      </c>
      <c r="AN84" s="103">
        <f t="shared" si="9"/>
        <v>0.42234756097560977</v>
      </c>
      <c r="AP84" s="104">
        <f t="shared" si="10"/>
        <v>1.64</v>
      </c>
      <c r="AQ84" s="105">
        <f t="shared" si="11"/>
        <v>1.4078252032520326</v>
      </c>
      <c r="AR84" s="97"/>
      <c r="BW84" s="77">
        <f t="shared" si="12"/>
        <v>0.44181818181818178</v>
      </c>
      <c r="BX84" s="77">
        <f t="shared" si="15"/>
        <v>1.4727272727272727</v>
      </c>
      <c r="BY84" s="76">
        <f t="shared" si="13"/>
        <v>1.1781818181818182</v>
      </c>
      <c r="BZ84" s="76">
        <f t="shared" si="14"/>
        <v>1.25</v>
      </c>
      <c r="CA84" s="78">
        <v>1.54</v>
      </c>
    </row>
    <row r="85" spans="39:79">
      <c r="AM85" s="102">
        <f t="shared" si="8"/>
        <v>1.66</v>
      </c>
      <c r="AN85" s="103">
        <f t="shared" si="9"/>
        <v>0.41873493975903614</v>
      </c>
      <c r="AP85" s="104">
        <f t="shared" si="10"/>
        <v>1.66</v>
      </c>
      <c r="AQ85" s="105">
        <f t="shared" si="11"/>
        <v>1.3957831325301204</v>
      </c>
      <c r="AR85" s="97"/>
      <c r="BW85" s="77">
        <f t="shared" si="12"/>
        <v>0.43772435897435885</v>
      </c>
      <c r="BX85" s="77">
        <f t="shared" si="15"/>
        <v>1.4590811965811963</v>
      </c>
      <c r="BY85" s="76">
        <f t="shared" si="13"/>
        <v>1.1824242424242424</v>
      </c>
      <c r="BZ85" s="76">
        <f t="shared" si="14"/>
        <v>1.2339743589743588</v>
      </c>
      <c r="CA85" s="78">
        <v>1.56</v>
      </c>
    </row>
    <row r="86" spans="39:79">
      <c r="AM86" s="102">
        <f t="shared" si="8"/>
        <v>1.68</v>
      </c>
      <c r="AN86" s="103">
        <f t="shared" si="9"/>
        <v>0.41520833333333335</v>
      </c>
      <c r="AP86" s="104">
        <f t="shared" si="10"/>
        <v>1.68</v>
      </c>
      <c r="AQ86" s="105">
        <f t="shared" si="11"/>
        <v>1.3840277777777779</v>
      </c>
      <c r="AR86" s="97"/>
      <c r="BW86" s="77">
        <f t="shared" si="12"/>
        <v>0.43373417721518986</v>
      </c>
      <c r="BX86" s="77">
        <f t="shared" si="15"/>
        <v>1.4457805907172996</v>
      </c>
      <c r="BY86" s="76">
        <f t="shared" si="13"/>
        <v>1.1866666666666668</v>
      </c>
      <c r="BZ86" s="76">
        <f t="shared" si="14"/>
        <v>1.2183544303797467</v>
      </c>
      <c r="CA86" s="78">
        <v>1.58</v>
      </c>
    </row>
    <row r="87" spans="39:79">
      <c r="AM87" s="102">
        <f t="shared" si="8"/>
        <v>1.7</v>
      </c>
      <c r="AN87" s="103">
        <f t="shared" si="9"/>
        <v>0.41176470588235292</v>
      </c>
      <c r="AP87" s="104">
        <f t="shared" si="10"/>
        <v>1.7</v>
      </c>
      <c r="AQ87" s="105">
        <f t="shared" si="11"/>
        <v>1.3725490196078431</v>
      </c>
      <c r="AR87" s="97"/>
      <c r="BW87" s="77">
        <f t="shared" si="12"/>
        <v>0.42984374999999991</v>
      </c>
      <c r="BX87" s="77">
        <f t="shared" si="15"/>
        <v>1.4328124999999998</v>
      </c>
      <c r="BY87" s="76">
        <f t="shared" si="13"/>
        <v>1.1909090909090909</v>
      </c>
      <c r="BZ87" s="76">
        <f t="shared" si="14"/>
        <v>1.2031249999999998</v>
      </c>
      <c r="CA87" s="78">
        <v>1.6</v>
      </c>
    </row>
    <row r="88" spans="39:79">
      <c r="AM88" s="102">
        <f t="shared" si="8"/>
        <v>1.72</v>
      </c>
      <c r="AN88" s="103">
        <f t="shared" si="9"/>
        <v>0.40840116279069766</v>
      </c>
      <c r="AP88" s="104">
        <f t="shared" si="10"/>
        <v>1.72</v>
      </c>
      <c r="AQ88" s="105">
        <f t="shared" si="11"/>
        <v>1.3613372093023255</v>
      </c>
      <c r="AR88" s="97"/>
      <c r="BW88" s="77">
        <f t="shared" si="12"/>
        <v>0.42604938271604925</v>
      </c>
      <c r="BX88" s="77">
        <f t="shared" si="15"/>
        <v>1.4201646090534976</v>
      </c>
      <c r="BY88" s="76">
        <f t="shared" si="13"/>
        <v>1.1951515151515151</v>
      </c>
      <c r="BZ88" s="76">
        <f t="shared" si="14"/>
        <v>1.1882716049382713</v>
      </c>
      <c r="CA88" s="78">
        <v>1.62</v>
      </c>
    </row>
    <row r="89" spans="39:79">
      <c r="AM89" s="102">
        <f t="shared" si="8"/>
        <v>1.74</v>
      </c>
      <c r="AN89" s="103">
        <f t="shared" si="9"/>
        <v>0.40511494252873564</v>
      </c>
      <c r="AP89" s="104">
        <f t="shared" si="10"/>
        <v>1.74</v>
      </c>
      <c r="AQ89" s="105">
        <f t="shared" si="11"/>
        <v>1.3503831417624521</v>
      </c>
      <c r="AR89" s="97"/>
      <c r="BW89" s="77">
        <f t="shared" si="12"/>
        <v>0.42234756097560977</v>
      </c>
      <c r="BX89" s="77">
        <f t="shared" si="15"/>
        <v>1.4078252032520326</v>
      </c>
      <c r="BY89" s="76">
        <f t="shared" si="13"/>
        <v>1.1993939393939395</v>
      </c>
      <c r="BZ89" s="76">
        <f t="shared" si="14"/>
        <v>1.1737804878048781</v>
      </c>
      <c r="CA89" s="78">
        <v>1.64</v>
      </c>
    </row>
    <row r="90" spans="39:79">
      <c r="AM90" s="102">
        <f t="shared" si="8"/>
        <v>1.76</v>
      </c>
      <c r="AN90" s="103">
        <f t="shared" si="9"/>
        <v>0.40190340909090905</v>
      </c>
      <c r="AP90" s="104">
        <f t="shared" si="10"/>
        <v>1.76</v>
      </c>
      <c r="AQ90" s="105">
        <f t="shared" si="11"/>
        <v>1.3396780303030302</v>
      </c>
      <c r="AR90" s="97"/>
      <c r="BW90" s="77">
        <f t="shared" si="12"/>
        <v>0.41873493975903614</v>
      </c>
      <c r="BX90" s="77">
        <f t="shared" si="15"/>
        <v>1.3957831325301204</v>
      </c>
      <c r="BY90" s="76">
        <f t="shared" si="13"/>
        <v>1.2036363636363636</v>
      </c>
      <c r="BZ90" s="76">
        <f t="shared" si="14"/>
        <v>1.1596385542168675</v>
      </c>
      <c r="CA90" s="78">
        <v>1.66</v>
      </c>
    </row>
    <row r="91" spans="39:79">
      <c r="AM91" s="102">
        <f t="shared" si="8"/>
        <v>1.78</v>
      </c>
      <c r="AN91" s="103">
        <f t="shared" si="9"/>
        <v>0.39876404494382012</v>
      </c>
      <c r="AP91" s="104">
        <f t="shared" si="10"/>
        <v>1.78</v>
      </c>
      <c r="AQ91" s="105">
        <f t="shared" si="11"/>
        <v>1.3292134831460671</v>
      </c>
      <c r="AR91" s="97"/>
      <c r="BW91" s="77">
        <f t="shared" si="12"/>
        <v>0.41520833333333335</v>
      </c>
      <c r="BX91" s="77">
        <f t="shared" si="15"/>
        <v>1.3840277777777779</v>
      </c>
      <c r="BY91" s="76">
        <f t="shared" si="13"/>
        <v>1.207878787878788</v>
      </c>
      <c r="BZ91" s="76">
        <f t="shared" si="14"/>
        <v>1.1458333333333333</v>
      </c>
      <c r="CA91" s="78">
        <v>1.68</v>
      </c>
    </row>
    <row r="92" spans="39:79">
      <c r="AM92" s="102">
        <f t="shared" si="8"/>
        <v>1.8</v>
      </c>
      <c r="AN92" s="103">
        <f t="shared" si="9"/>
        <v>0.3956944444444444</v>
      </c>
      <c r="AP92" s="104">
        <f t="shared" si="10"/>
        <v>1.8</v>
      </c>
      <c r="AQ92" s="105">
        <f t="shared" si="11"/>
        <v>1.3189814814814813</v>
      </c>
      <c r="AR92" s="97"/>
      <c r="BW92" s="77">
        <f t="shared" si="12"/>
        <v>0.41176470588235292</v>
      </c>
      <c r="BX92" s="77">
        <f t="shared" si="15"/>
        <v>1.3725490196078431</v>
      </c>
      <c r="BY92" s="76">
        <f t="shared" si="13"/>
        <v>1.2121212121212122</v>
      </c>
      <c r="BZ92" s="76">
        <f t="shared" si="14"/>
        <v>1.1323529411764706</v>
      </c>
      <c r="CA92" s="78">
        <v>1.7</v>
      </c>
    </row>
    <row r="93" spans="39:79">
      <c r="AM93" s="102">
        <f t="shared" si="8"/>
        <v>1.82</v>
      </c>
      <c r="AN93" s="103">
        <f t="shared" si="9"/>
        <v>0.39269230769230762</v>
      </c>
      <c r="AP93" s="104">
        <f t="shared" si="10"/>
        <v>1.82</v>
      </c>
      <c r="AQ93" s="105">
        <f t="shared" si="11"/>
        <v>1.3089743589743588</v>
      </c>
      <c r="AR93" s="97"/>
      <c r="BW93" s="77">
        <f t="shared" si="12"/>
        <v>0.40840116279069766</v>
      </c>
      <c r="BX93" s="77">
        <f t="shared" si="15"/>
        <v>1.3613372093023255</v>
      </c>
      <c r="BY93" s="76">
        <f t="shared" si="13"/>
        <v>1.2163636363636363</v>
      </c>
      <c r="BZ93" s="76">
        <f t="shared" si="14"/>
        <v>1.1191860465116279</v>
      </c>
      <c r="CA93" s="78">
        <v>1.72</v>
      </c>
    </row>
    <row r="94" spans="39:79">
      <c r="AM94" s="102">
        <f t="shared" si="8"/>
        <v>1.84</v>
      </c>
      <c r="AN94" s="103">
        <f t="shared" si="9"/>
        <v>0.38975543478260866</v>
      </c>
      <c r="AP94" s="104">
        <f t="shared" si="10"/>
        <v>1.84</v>
      </c>
      <c r="AQ94" s="105">
        <f t="shared" si="11"/>
        <v>1.2991847826086955</v>
      </c>
      <c r="AR94" s="97"/>
      <c r="BW94" s="77">
        <f t="shared" si="12"/>
        <v>0.40511494252873564</v>
      </c>
      <c r="BX94" s="77">
        <f t="shared" si="15"/>
        <v>1.3503831417624521</v>
      </c>
      <c r="BY94" s="76">
        <f t="shared" si="13"/>
        <v>1.2206060606060607</v>
      </c>
      <c r="BZ94" s="76">
        <f t="shared" si="14"/>
        <v>1.1063218390804597</v>
      </c>
      <c r="CA94" s="78">
        <v>1.74</v>
      </c>
    </row>
    <row r="95" spans="39:79">
      <c r="AM95" s="102">
        <f t="shared" si="8"/>
        <v>1.86</v>
      </c>
      <c r="AN95" s="103">
        <f t="shared" si="9"/>
        <v>0.38688172043010743</v>
      </c>
      <c r="AP95" s="104">
        <f t="shared" si="10"/>
        <v>1.86</v>
      </c>
      <c r="AQ95" s="105">
        <f t="shared" si="11"/>
        <v>1.2896057347670249</v>
      </c>
      <c r="AR95" s="97"/>
      <c r="BW95" s="77">
        <f t="shared" si="12"/>
        <v>0.40190340909090905</v>
      </c>
      <c r="BX95" s="77">
        <f t="shared" si="15"/>
        <v>1.3396780303030302</v>
      </c>
      <c r="BY95" s="76">
        <f t="shared" si="13"/>
        <v>1.2248484848484849</v>
      </c>
      <c r="BZ95" s="76">
        <f t="shared" si="14"/>
        <v>1.09375</v>
      </c>
      <c r="CA95" s="78">
        <v>1.76</v>
      </c>
    </row>
    <row r="96" spans="39:79">
      <c r="AM96" s="102">
        <f t="shared" si="8"/>
        <v>1.88</v>
      </c>
      <c r="AN96" s="103">
        <f t="shared" si="9"/>
        <v>0.38406914893617011</v>
      </c>
      <c r="AP96" s="104">
        <f t="shared" si="10"/>
        <v>1.88</v>
      </c>
      <c r="AQ96" s="105">
        <f t="shared" si="11"/>
        <v>1.2802304964539004</v>
      </c>
      <c r="AR96" s="97"/>
      <c r="BW96" s="77">
        <f t="shared" si="12"/>
        <v>0.39876404494382012</v>
      </c>
      <c r="BX96" s="77">
        <f t="shared" si="15"/>
        <v>1.3292134831460671</v>
      </c>
      <c r="BY96" s="76">
        <f t="shared" si="13"/>
        <v>1.229090909090909</v>
      </c>
      <c r="BZ96" s="76">
        <f t="shared" si="14"/>
        <v>1.0814606741573032</v>
      </c>
      <c r="CA96" s="78">
        <v>1.78</v>
      </c>
    </row>
    <row r="97" spans="39:79">
      <c r="AM97" s="102">
        <f t="shared" si="8"/>
        <v>1.9</v>
      </c>
      <c r="AN97" s="103">
        <f t="shared" si="9"/>
        <v>0.38131578947368422</v>
      </c>
      <c r="AP97" s="104">
        <f t="shared" si="10"/>
        <v>1.9</v>
      </c>
      <c r="AQ97" s="105">
        <f t="shared" si="11"/>
        <v>1.2710526315789474</v>
      </c>
      <c r="AR97" s="97"/>
      <c r="BW97" s="77">
        <f t="shared" si="12"/>
        <v>0.3956944444444444</v>
      </c>
      <c r="BX97" s="77">
        <f t="shared" si="15"/>
        <v>1.3189814814814813</v>
      </c>
      <c r="BY97" s="76">
        <f t="shared" si="13"/>
        <v>1.2333333333333334</v>
      </c>
      <c r="BZ97" s="76">
        <f t="shared" si="14"/>
        <v>1.0694444444444442</v>
      </c>
      <c r="CA97" s="78">
        <v>1.8</v>
      </c>
    </row>
    <row r="98" spans="39:79">
      <c r="AM98" s="102">
        <f t="shared" si="8"/>
        <v>1.92</v>
      </c>
      <c r="AN98" s="103">
        <f t="shared" si="9"/>
        <v>0.37861979166666659</v>
      </c>
      <c r="AP98" s="104">
        <f t="shared" si="10"/>
        <v>1.92</v>
      </c>
      <c r="AQ98" s="105">
        <f t="shared" si="11"/>
        <v>1.2620659722222221</v>
      </c>
      <c r="AR98" s="97"/>
      <c r="BW98" s="77">
        <f t="shared" si="12"/>
        <v>0.39269230769230762</v>
      </c>
      <c r="BX98" s="77">
        <f t="shared" si="15"/>
        <v>1.3089743589743588</v>
      </c>
      <c r="BY98" s="76">
        <f t="shared" si="13"/>
        <v>1.2375757575757576</v>
      </c>
      <c r="BZ98" s="76">
        <f t="shared" si="14"/>
        <v>1.0576923076923075</v>
      </c>
      <c r="CA98" s="78">
        <v>1.82</v>
      </c>
    </row>
    <row r="99" spans="39:79">
      <c r="AM99" s="102">
        <f t="shared" si="8"/>
        <v>1.94</v>
      </c>
      <c r="AN99" s="103">
        <f t="shared" si="9"/>
        <v>0.37597938144329901</v>
      </c>
      <c r="AP99" s="104">
        <f t="shared" si="10"/>
        <v>1.94</v>
      </c>
      <c r="AQ99" s="105">
        <f t="shared" si="11"/>
        <v>1.2532646048109968</v>
      </c>
      <c r="AR99" s="97"/>
      <c r="BW99" s="77">
        <f t="shared" si="12"/>
        <v>0.38975543478260866</v>
      </c>
      <c r="BX99" s="77">
        <f t="shared" si="15"/>
        <v>1.2991847826086955</v>
      </c>
      <c r="BY99" s="76">
        <f t="shared" si="13"/>
        <v>1.2418181818181819</v>
      </c>
      <c r="BZ99" s="76">
        <f t="shared" si="14"/>
        <v>1.0461956521739129</v>
      </c>
      <c r="CA99" s="78">
        <v>1.84</v>
      </c>
    </row>
    <row r="100" spans="39:79">
      <c r="AM100" s="102">
        <f t="shared" si="8"/>
        <v>1.96</v>
      </c>
      <c r="AN100" s="103">
        <f t="shared" si="9"/>
        <v>0.37339285714285719</v>
      </c>
      <c r="AP100" s="104">
        <f t="shared" si="10"/>
        <v>1.96</v>
      </c>
      <c r="AQ100" s="105">
        <f t="shared" si="11"/>
        <v>1.2446428571428574</v>
      </c>
      <c r="AR100" s="97"/>
      <c r="BW100" s="77">
        <f t="shared" si="12"/>
        <v>0.38688172043010743</v>
      </c>
      <c r="BX100" s="77">
        <f t="shared" si="15"/>
        <v>1.2896057347670249</v>
      </c>
      <c r="BY100" s="76">
        <f t="shared" si="13"/>
        <v>1.2460606060606061</v>
      </c>
      <c r="BZ100" s="76">
        <f t="shared" si="14"/>
        <v>1.0349462365591395</v>
      </c>
      <c r="CA100" s="78">
        <v>1.86</v>
      </c>
    </row>
    <row r="101" spans="39:79">
      <c r="AM101" s="102">
        <f t="shared" si="8"/>
        <v>1.98</v>
      </c>
      <c r="AN101" s="103">
        <f t="shared" si="9"/>
        <v>0.37085858585858583</v>
      </c>
      <c r="AP101" s="104">
        <f t="shared" si="10"/>
        <v>1.98</v>
      </c>
      <c r="AQ101" s="105">
        <f t="shared" si="11"/>
        <v>1.2361952861952861</v>
      </c>
      <c r="AR101" s="97"/>
      <c r="BW101" s="77">
        <f t="shared" si="12"/>
        <v>0.38406914893617011</v>
      </c>
      <c r="BX101" s="77">
        <f t="shared" si="15"/>
        <v>1.2802304964539004</v>
      </c>
      <c r="BY101" s="76">
        <f t="shared" si="13"/>
        <v>1.2503030303030302</v>
      </c>
      <c r="BZ101" s="76">
        <f t="shared" si="14"/>
        <v>1.0239361702127658</v>
      </c>
      <c r="CA101" s="78">
        <v>1.88</v>
      </c>
    </row>
    <row r="102" spans="39:79">
      <c r="AM102" s="102">
        <f t="shared" si="8"/>
        <v>2</v>
      </c>
      <c r="AN102" s="103">
        <f t="shared" si="9"/>
        <v>0.36837500000000001</v>
      </c>
      <c r="AP102" s="104">
        <f t="shared" si="10"/>
        <v>2</v>
      </c>
      <c r="AQ102" s="105">
        <f t="shared" si="11"/>
        <v>1.2279166666666668</v>
      </c>
      <c r="AR102" s="97"/>
      <c r="BW102" s="77">
        <f t="shared" si="12"/>
        <v>0.38131578947368422</v>
      </c>
      <c r="BX102" s="77">
        <f t="shared" si="15"/>
        <v>1.2710526315789474</v>
      </c>
      <c r="BY102" s="76">
        <f t="shared" si="13"/>
        <v>1.2545454545454546</v>
      </c>
      <c r="BZ102" s="76">
        <f t="shared" si="14"/>
        <v>1.013157894736842</v>
      </c>
      <c r="CA102" s="78">
        <v>1.9</v>
      </c>
    </row>
    <row r="103" spans="39:79">
      <c r="AM103" s="102">
        <f t="shared" si="8"/>
        <v>2.02</v>
      </c>
      <c r="AN103" s="103">
        <f t="shared" si="9"/>
        <v>0.36594059405940593</v>
      </c>
      <c r="AP103" s="104">
        <f t="shared" si="10"/>
        <v>2.02</v>
      </c>
      <c r="AQ103" s="105">
        <f t="shared" si="11"/>
        <v>1.2198019801980198</v>
      </c>
      <c r="AR103" s="97"/>
      <c r="BW103" s="77">
        <f t="shared" si="12"/>
        <v>0.37861979166666659</v>
      </c>
      <c r="BX103" s="77">
        <f t="shared" si="15"/>
        <v>1.2620659722222221</v>
      </c>
      <c r="BY103" s="76">
        <f t="shared" si="13"/>
        <v>1.2587878787878788</v>
      </c>
      <c r="BZ103" s="76">
        <f t="shared" si="14"/>
        <v>1.0026041666666665</v>
      </c>
      <c r="CA103" s="78">
        <v>1.92</v>
      </c>
    </row>
    <row r="104" spans="39:79">
      <c r="AM104" s="102">
        <f t="shared" si="8"/>
        <v>2.04</v>
      </c>
      <c r="AN104" s="103">
        <f t="shared" si="9"/>
        <v>0.36355392156862737</v>
      </c>
      <c r="AP104" s="104">
        <f t="shared" si="10"/>
        <v>2.04</v>
      </c>
      <c r="AQ104" s="105">
        <f t="shared" si="11"/>
        <v>1.2118464052287579</v>
      </c>
      <c r="AR104" s="97"/>
      <c r="BW104" s="77">
        <f t="shared" si="12"/>
        <v>0.37597938144329901</v>
      </c>
      <c r="BX104" s="77">
        <f t="shared" si="15"/>
        <v>1.2532646048109968</v>
      </c>
      <c r="BY104" s="76">
        <f t="shared" si="13"/>
        <v>1.2630303030303032</v>
      </c>
      <c r="BZ104" s="76">
        <f t="shared" si="14"/>
        <v>0.99226804123711343</v>
      </c>
      <c r="CA104" s="78">
        <v>1.94</v>
      </c>
    </row>
    <row r="105" spans="39:79">
      <c r="AM105" s="102">
        <f t="shared" si="8"/>
        <v>2.06</v>
      </c>
      <c r="AN105" s="103">
        <f t="shared" si="9"/>
        <v>0.36121359223300969</v>
      </c>
      <c r="AP105" s="104">
        <f t="shared" si="10"/>
        <v>2.06</v>
      </c>
      <c r="AQ105" s="105">
        <f t="shared" si="11"/>
        <v>1.2040453074433657</v>
      </c>
      <c r="AR105" s="97"/>
      <c r="BW105" s="77">
        <f t="shared" si="12"/>
        <v>0.37339285714285719</v>
      </c>
      <c r="BX105" s="77">
        <f t="shared" si="15"/>
        <v>1.2446428571428574</v>
      </c>
      <c r="BY105" s="76">
        <f t="shared" si="13"/>
        <v>1.2672727272727273</v>
      </c>
      <c r="BZ105" s="76">
        <f t="shared" si="14"/>
        <v>0.98214285714285721</v>
      </c>
      <c r="CA105" s="78">
        <v>1.96</v>
      </c>
    </row>
    <row r="106" spans="39:79">
      <c r="AM106" s="102">
        <f t="shared" si="8"/>
        <v>2.08</v>
      </c>
      <c r="AN106" s="103">
        <f t="shared" si="9"/>
        <v>0.35891826923076914</v>
      </c>
      <c r="AP106" s="104">
        <f t="shared" si="10"/>
        <v>2.08</v>
      </c>
      <c r="AQ106" s="105">
        <f t="shared" si="11"/>
        <v>1.1963942307692306</v>
      </c>
      <c r="AR106" s="97"/>
      <c r="BW106" s="77">
        <f t="shared" si="12"/>
        <v>0.37085858585858583</v>
      </c>
      <c r="BX106" s="77">
        <f t="shared" si="15"/>
        <v>1.2361952861952861</v>
      </c>
      <c r="BY106" s="76">
        <f t="shared" si="13"/>
        <v>1.2715151515151515</v>
      </c>
      <c r="BZ106" s="76">
        <f t="shared" si="14"/>
        <v>0.97222222222222221</v>
      </c>
      <c r="CA106" s="78">
        <v>1.98</v>
      </c>
    </row>
    <row r="107" spans="39:79">
      <c r="AM107" s="102">
        <f t="shared" si="8"/>
        <v>2.1</v>
      </c>
      <c r="AN107" s="103">
        <f t="shared" si="9"/>
        <v>0.35666666666666658</v>
      </c>
      <c r="AP107" s="104">
        <f t="shared" si="10"/>
        <v>2.1</v>
      </c>
      <c r="AQ107" s="105">
        <f t="shared" si="11"/>
        <v>1.1888888888888887</v>
      </c>
      <c r="AR107" s="97"/>
      <c r="BW107" s="77">
        <f t="shared" si="12"/>
        <v>0.36837500000000001</v>
      </c>
      <c r="BX107" s="77">
        <f t="shared" si="15"/>
        <v>1.2279166666666668</v>
      </c>
      <c r="BY107" s="76">
        <f t="shared" si="13"/>
        <v>1.2757575757575759</v>
      </c>
      <c r="BZ107" s="76">
        <f t="shared" si="14"/>
        <v>0.96249999999999991</v>
      </c>
      <c r="CA107" s="78">
        <v>2</v>
      </c>
    </row>
    <row r="108" spans="39:79">
      <c r="AM108" s="102">
        <f t="shared" si="8"/>
        <v>2.12</v>
      </c>
      <c r="AN108" s="103">
        <f t="shared" si="9"/>
        <v>0.35445754716981132</v>
      </c>
      <c r="AP108" s="104">
        <f t="shared" si="10"/>
        <v>2.12</v>
      </c>
      <c r="AQ108" s="105">
        <f t="shared" si="11"/>
        <v>1.1815251572327043</v>
      </c>
      <c r="AR108" s="97"/>
      <c r="BW108" s="77">
        <f t="shared" si="12"/>
        <v>0.36594059405940593</v>
      </c>
      <c r="BX108" s="77">
        <f t="shared" si="15"/>
        <v>1.2198019801980198</v>
      </c>
      <c r="BY108" s="76">
        <f t="shared" si="13"/>
        <v>1.28</v>
      </c>
      <c r="BZ108" s="76">
        <f t="shared" si="14"/>
        <v>0.95297029702970293</v>
      </c>
      <c r="CA108" s="78">
        <v>2.02</v>
      </c>
    </row>
    <row r="109" spans="39:79">
      <c r="AM109" s="102">
        <f t="shared" si="8"/>
        <v>2.14</v>
      </c>
      <c r="AN109" s="103">
        <f t="shared" si="9"/>
        <v>0.35228971962616812</v>
      </c>
      <c r="AP109" s="104">
        <f t="shared" si="10"/>
        <v>2.14</v>
      </c>
      <c r="AQ109" s="105">
        <f t="shared" si="11"/>
        <v>1.1742990654205605</v>
      </c>
      <c r="AR109" s="97"/>
      <c r="BW109" s="77">
        <f t="shared" si="12"/>
        <v>0.36355392156862737</v>
      </c>
      <c r="BX109" s="77">
        <f t="shared" si="15"/>
        <v>1.2118464052287579</v>
      </c>
      <c r="BY109" s="76">
        <f t="shared" si="13"/>
        <v>1.2842424242424242</v>
      </c>
      <c r="BZ109" s="76">
        <f t="shared" si="14"/>
        <v>0.94362745098039202</v>
      </c>
      <c r="CA109" s="78">
        <v>2.04</v>
      </c>
    </row>
    <row r="110" spans="39:79">
      <c r="AM110" s="102">
        <f t="shared" si="8"/>
        <v>2.16</v>
      </c>
      <c r="AN110" s="103">
        <f t="shared" si="9"/>
        <v>0.35016203703703691</v>
      </c>
      <c r="AP110" s="104">
        <f t="shared" si="10"/>
        <v>2.16</v>
      </c>
      <c r="AQ110" s="105">
        <f t="shared" si="11"/>
        <v>1.1672067901234564</v>
      </c>
      <c r="AR110" s="97"/>
      <c r="BW110" s="77">
        <f t="shared" si="12"/>
        <v>0.36121359223300969</v>
      </c>
      <c r="BX110" s="77">
        <f t="shared" si="15"/>
        <v>1.2040453074433657</v>
      </c>
      <c r="BY110" s="76">
        <f t="shared" si="13"/>
        <v>1.2884848484848486</v>
      </c>
      <c r="BZ110" s="76">
        <f t="shared" si="14"/>
        <v>0.93446601941747565</v>
      </c>
      <c r="CA110" s="78">
        <v>2.06</v>
      </c>
    </row>
    <row r="111" spans="39:79">
      <c r="AM111" s="102">
        <f t="shared" si="8"/>
        <v>2.1800000000000002</v>
      </c>
      <c r="AN111" s="103">
        <f t="shared" si="9"/>
        <v>0.3480733944954128</v>
      </c>
      <c r="AP111" s="104">
        <f t="shared" si="10"/>
        <v>2.1800000000000002</v>
      </c>
      <c r="AQ111" s="105">
        <f t="shared" si="11"/>
        <v>1.1602446483180426</v>
      </c>
      <c r="AR111" s="97"/>
      <c r="BW111" s="77">
        <f t="shared" si="12"/>
        <v>0.35891826923076914</v>
      </c>
      <c r="BX111" s="77">
        <f t="shared" si="15"/>
        <v>1.1963942307692306</v>
      </c>
      <c r="BY111" s="76">
        <f t="shared" si="13"/>
        <v>1.2927272727272727</v>
      </c>
      <c r="BZ111" s="76">
        <f t="shared" si="14"/>
        <v>0.92548076923076916</v>
      </c>
      <c r="CA111" s="78">
        <v>2.08</v>
      </c>
    </row>
    <row r="112" spans="39:79">
      <c r="AM112" s="102">
        <f t="shared" si="8"/>
        <v>2.2000000000000002</v>
      </c>
      <c r="AN112" s="103">
        <f t="shared" si="9"/>
        <v>0.34602272727272726</v>
      </c>
      <c r="AP112" s="104">
        <f t="shared" si="10"/>
        <v>2.2000000000000002</v>
      </c>
      <c r="AQ112" s="105">
        <f t="shared" si="11"/>
        <v>1.1534090909090908</v>
      </c>
      <c r="AR112" s="97"/>
      <c r="BW112" s="77">
        <f t="shared" si="12"/>
        <v>0.35666666666666658</v>
      </c>
      <c r="BX112" s="77">
        <f t="shared" si="15"/>
        <v>1.1888888888888887</v>
      </c>
      <c r="BY112" s="76">
        <f t="shared" si="13"/>
        <v>1.2969696969696969</v>
      </c>
      <c r="BZ112" s="76">
        <f t="shared" si="14"/>
        <v>0.91666666666666663</v>
      </c>
      <c r="CA112" s="78">
        <v>2.1</v>
      </c>
    </row>
    <row r="113" spans="39:79">
      <c r="AM113" s="102">
        <f t="shared" si="8"/>
        <v>2.2200000000000002</v>
      </c>
      <c r="AN113" s="103">
        <f t="shared" si="9"/>
        <v>0.34400900900900894</v>
      </c>
      <c r="AP113" s="104">
        <f t="shared" si="10"/>
        <v>2.2200000000000002</v>
      </c>
      <c r="AQ113" s="105">
        <f t="shared" si="11"/>
        <v>1.1466966966966965</v>
      </c>
      <c r="AR113" s="97"/>
      <c r="BW113" s="77">
        <f t="shared" si="12"/>
        <v>0.35445754716981132</v>
      </c>
      <c r="BX113" s="77">
        <f t="shared" si="15"/>
        <v>1.1815251572327043</v>
      </c>
      <c r="BY113" s="76">
        <f t="shared" si="13"/>
        <v>1.3012121212121213</v>
      </c>
      <c r="BZ113" s="76">
        <f t="shared" si="14"/>
        <v>0.90801886792452824</v>
      </c>
      <c r="CA113" s="78">
        <v>2.12</v>
      </c>
    </row>
    <row r="114" spans="39:79">
      <c r="AM114" s="102">
        <f t="shared" si="8"/>
        <v>2.2400000000000002</v>
      </c>
      <c r="AN114" s="103">
        <f t="shared" si="9"/>
        <v>0.34203124999999995</v>
      </c>
      <c r="AP114" s="104">
        <f t="shared" si="10"/>
        <v>2.2400000000000002</v>
      </c>
      <c r="AQ114" s="105">
        <f t="shared" si="11"/>
        <v>1.1401041666666665</v>
      </c>
      <c r="AR114" s="97"/>
      <c r="BW114" s="77">
        <f t="shared" si="12"/>
        <v>0.35228971962616812</v>
      </c>
      <c r="BX114" s="77">
        <f t="shared" si="15"/>
        <v>1.1742990654205605</v>
      </c>
      <c r="BY114" s="76">
        <f t="shared" si="13"/>
        <v>1.3054545454545454</v>
      </c>
      <c r="BZ114" s="76">
        <f t="shared" si="14"/>
        <v>0.89953271028037374</v>
      </c>
      <c r="CA114" s="78">
        <v>2.14</v>
      </c>
    </row>
    <row r="115" spans="39:79">
      <c r="AM115" s="102">
        <f t="shared" si="8"/>
        <v>2.2599999999999998</v>
      </c>
      <c r="AN115" s="103">
        <f t="shared" si="9"/>
        <v>0.34008849557522114</v>
      </c>
      <c r="AP115" s="104">
        <f t="shared" si="10"/>
        <v>2.2599999999999998</v>
      </c>
      <c r="AQ115" s="105">
        <f t="shared" si="11"/>
        <v>1.1336283185840705</v>
      </c>
      <c r="AR115" s="97"/>
      <c r="BW115" s="77">
        <f t="shared" si="12"/>
        <v>0.35016203703703691</v>
      </c>
      <c r="BX115" s="77">
        <f t="shared" si="15"/>
        <v>1.1672067901234564</v>
      </c>
      <c r="BY115" s="76">
        <f t="shared" si="13"/>
        <v>1.3096969696969696</v>
      </c>
      <c r="BZ115" s="76">
        <f t="shared" si="14"/>
        <v>0.8912037037037035</v>
      </c>
      <c r="CA115" s="78">
        <v>2.16</v>
      </c>
    </row>
    <row r="116" spans="39:79">
      <c r="AM116" s="102">
        <f t="shared" si="8"/>
        <v>2.2799999999999998</v>
      </c>
      <c r="AN116" s="103">
        <f t="shared" si="9"/>
        <v>0.33817982456140355</v>
      </c>
      <c r="AP116" s="104">
        <f t="shared" si="10"/>
        <v>2.2799999999999998</v>
      </c>
      <c r="AQ116" s="105">
        <f t="shared" si="11"/>
        <v>1.1272660818713451</v>
      </c>
      <c r="AR116" s="97"/>
      <c r="BW116" s="77">
        <f t="shared" si="12"/>
        <v>0.3480733944954128</v>
      </c>
      <c r="BX116" s="77">
        <f t="shared" si="15"/>
        <v>1.1602446483180426</v>
      </c>
      <c r="BY116" s="76">
        <f t="shared" si="13"/>
        <v>1.313939393939394</v>
      </c>
      <c r="BZ116" s="76">
        <f t="shared" si="14"/>
        <v>0.88302752293577969</v>
      </c>
      <c r="CA116" s="78">
        <v>2.1800000000000002</v>
      </c>
    </row>
    <row r="117" spans="39:79">
      <c r="AM117" s="102">
        <f t="shared" si="8"/>
        <v>2.2999999999999998</v>
      </c>
      <c r="AN117" s="103">
        <f t="shared" si="9"/>
        <v>0.33630434782608692</v>
      </c>
      <c r="AP117" s="104">
        <f t="shared" si="10"/>
        <v>2.2999999999999998</v>
      </c>
      <c r="AQ117" s="105">
        <f t="shared" si="11"/>
        <v>1.1210144927536232</v>
      </c>
      <c r="AR117" s="97"/>
      <c r="BW117" s="77">
        <f t="shared" si="12"/>
        <v>0.34602272727272726</v>
      </c>
      <c r="BX117" s="77">
        <f t="shared" si="15"/>
        <v>1.1534090909090908</v>
      </c>
      <c r="BY117" s="76">
        <f t="shared" si="13"/>
        <v>1.3181818181818183</v>
      </c>
      <c r="BZ117" s="76">
        <f t="shared" si="14"/>
        <v>0.87499999999999978</v>
      </c>
      <c r="CA117" s="78">
        <v>2.2000000000000002</v>
      </c>
    </row>
    <row r="118" spans="39:79">
      <c r="AM118" s="102">
        <f t="shared" si="8"/>
        <v>2.3199999999999998</v>
      </c>
      <c r="AN118" s="103">
        <f t="shared" si="9"/>
        <v>0.33446120689655168</v>
      </c>
      <c r="AP118" s="104">
        <f t="shared" si="10"/>
        <v>2.3199999999999998</v>
      </c>
      <c r="AQ118" s="105">
        <f t="shared" si="11"/>
        <v>1.1148706896551723</v>
      </c>
      <c r="AR118" s="97"/>
      <c r="BW118" s="77">
        <f t="shared" si="12"/>
        <v>0.34400900900900894</v>
      </c>
      <c r="BX118" s="77">
        <f t="shared" si="15"/>
        <v>1.1466966966966965</v>
      </c>
      <c r="BY118" s="76">
        <f t="shared" si="13"/>
        <v>1.3224242424242425</v>
      </c>
      <c r="BZ118" s="76">
        <f t="shared" si="14"/>
        <v>0.86711711711711692</v>
      </c>
      <c r="CA118" s="78">
        <v>2.2200000000000002</v>
      </c>
    </row>
    <row r="119" spans="39:79">
      <c r="AM119" s="102">
        <f t="shared" si="8"/>
        <v>2.34</v>
      </c>
      <c r="AN119" s="103">
        <f t="shared" si="9"/>
        <v>0.33264957264957262</v>
      </c>
      <c r="AP119" s="104">
        <f t="shared" si="10"/>
        <v>2.34</v>
      </c>
      <c r="AQ119" s="105">
        <f t="shared" si="11"/>
        <v>1.1088319088319087</v>
      </c>
      <c r="AR119" s="97"/>
      <c r="BW119" s="77">
        <f t="shared" si="12"/>
        <v>0.34203124999999995</v>
      </c>
      <c r="BX119" s="77">
        <f t="shared" si="15"/>
        <v>1.1401041666666665</v>
      </c>
      <c r="BY119" s="76">
        <f t="shared" si="13"/>
        <v>1.3266666666666667</v>
      </c>
      <c r="BZ119" s="76">
        <f t="shared" si="14"/>
        <v>0.85937499999999989</v>
      </c>
      <c r="CA119" s="78">
        <v>2.2400000000000002</v>
      </c>
    </row>
    <row r="120" spans="39:79">
      <c r="AM120" s="102">
        <f t="shared" si="8"/>
        <v>2.36</v>
      </c>
      <c r="AN120" s="103">
        <f t="shared" si="9"/>
        <v>0.33086864406779654</v>
      </c>
      <c r="AP120" s="104">
        <f t="shared" si="10"/>
        <v>2.36</v>
      </c>
      <c r="AQ120" s="105">
        <f t="shared" si="11"/>
        <v>1.1028954802259885</v>
      </c>
      <c r="AR120" s="97"/>
      <c r="BW120" s="77">
        <f t="shared" si="12"/>
        <v>0.34008849557522114</v>
      </c>
      <c r="BX120" s="77">
        <f t="shared" si="15"/>
        <v>1.1336283185840705</v>
      </c>
      <c r="BY120" s="76">
        <f t="shared" si="13"/>
        <v>1.3309090909090908</v>
      </c>
      <c r="BZ120" s="76">
        <f t="shared" si="14"/>
        <v>0.85176991150442471</v>
      </c>
      <c r="CA120" s="78">
        <v>2.2599999999999998</v>
      </c>
    </row>
    <row r="121" spans="39:79">
      <c r="AM121" s="102">
        <f t="shared" si="8"/>
        <v>2.38</v>
      </c>
      <c r="AN121" s="103">
        <f t="shared" si="9"/>
        <v>0.32911764705882357</v>
      </c>
      <c r="AP121" s="104">
        <f t="shared" si="10"/>
        <v>2.38</v>
      </c>
      <c r="AQ121" s="105">
        <f t="shared" si="11"/>
        <v>1.0970588235294119</v>
      </c>
      <c r="AR121" s="97"/>
      <c r="BW121" s="77">
        <f t="shared" si="12"/>
        <v>0.33817982456140355</v>
      </c>
      <c r="BX121" s="77">
        <f t="shared" si="15"/>
        <v>1.1272660818713451</v>
      </c>
      <c r="BY121" s="76">
        <f t="shared" si="13"/>
        <v>1.3351515151515152</v>
      </c>
      <c r="BZ121" s="76">
        <f t="shared" si="14"/>
        <v>0.8442982456140351</v>
      </c>
      <c r="CA121" s="78">
        <v>2.2799999999999998</v>
      </c>
    </row>
    <row r="122" spans="39:79">
      <c r="AM122" s="102">
        <f t="shared" si="8"/>
        <v>2.4</v>
      </c>
      <c r="AN122" s="103">
        <f t="shared" si="9"/>
        <v>0.32739583333333333</v>
      </c>
      <c r="AP122" s="104">
        <f t="shared" si="10"/>
        <v>2.4</v>
      </c>
      <c r="AQ122" s="105">
        <f t="shared" si="11"/>
        <v>1.0913194444444445</v>
      </c>
      <c r="AR122" s="97"/>
      <c r="BW122" s="77">
        <f t="shared" si="12"/>
        <v>0.33630434782608692</v>
      </c>
      <c r="BX122" s="77">
        <f t="shared" si="15"/>
        <v>1.1210144927536232</v>
      </c>
      <c r="BY122" s="76">
        <f t="shared" si="13"/>
        <v>1.3393939393939394</v>
      </c>
      <c r="BZ122" s="76">
        <f t="shared" si="14"/>
        <v>0.83695652173913049</v>
      </c>
      <c r="CA122" s="78">
        <v>2.2999999999999998</v>
      </c>
    </row>
    <row r="123" spans="39:79">
      <c r="AM123" s="102">
        <f t="shared" si="8"/>
        <v>2.42</v>
      </c>
      <c r="AN123" s="103">
        <f t="shared" si="9"/>
        <v>0.32570247933884294</v>
      </c>
      <c r="AP123" s="104">
        <f t="shared" si="10"/>
        <v>2.42</v>
      </c>
      <c r="AQ123" s="105">
        <f t="shared" si="11"/>
        <v>1.0856749311294764</v>
      </c>
      <c r="AR123" s="97"/>
      <c r="BW123" s="77">
        <f t="shared" si="12"/>
        <v>0.33446120689655168</v>
      </c>
      <c r="BX123" s="77">
        <f t="shared" si="15"/>
        <v>1.1148706896551723</v>
      </c>
      <c r="BY123" s="76">
        <f t="shared" si="13"/>
        <v>1.3436363636363637</v>
      </c>
      <c r="BZ123" s="76">
        <f t="shared" si="14"/>
        <v>0.82974137931034475</v>
      </c>
      <c r="CA123" s="78">
        <v>2.3199999999999998</v>
      </c>
    </row>
    <row r="124" spans="39:79">
      <c r="AM124" s="102">
        <f t="shared" si="8"/>
        <v>2.44</v>
      </c>
      <c r="AN124" s="103">
        <f t="shared" si="9"/>
        <v>0.32403688524590163</v>
      </c>
      <c r="AP124" s="104">
        <f t="shared" si="10"/>
        <v>2.44</v>
      </c>
      <c r="AQ124" s="105">
        <f t="shared" si="11"/>
        <v>1.0801229508196721</v>
      </c>
      <c r="AR124" s="97"/>
      <c r="BW124" s="77">
        <f t="shared" si="12"/>
        <v>0.33264957264957262</v>
      </c>
      <c r="BX124" s="77">
        <f t="shared" si="15"/>
        <v>1.1088319088319087</v>
      </c>
      <c r="BY124" s="76">
        <f t="shared" si="13"/>
        <v>1.3478787878787879</v>
      </c>
      <c r="BZ124" s="76">
        <f t="shared" si="14"/>
        <v>0.82264957264957261</v>
      </c>
      <c r="CA124" s="78">
        <v>2.34</v>
      </c>
    </row>
    <row r="125" spans="39:79">
      <c r="AM125" s="102">
        <f t="shared" si="8"/>
        <v>2.46</v>
      </c>
      <c r="AN125" s="103">
        <f t="shared" si="9"/>
        <v>0.32239837398373983</v>
      </c>
      <c r="AP125" s="104">
        <f t="shared" si="10"/>
        <v>2.46</v>
      </c>
      <c r="AQ125" s="105">
        <f t="shared" si="11"/>
        <v>1.0746612466124661</v>
      </c>
      <c r="AR125" s="97"/>
      <c r="BW125" s="77">
        <f t="shared" si="12"/>
        <v>0.33086864406779654</v>
      </c>
      <c r="BX125" s="77">
        <f t="shared" si="15"/>
        <v>1.1028954802259885</v>
      </c>
      <c r="BY125" s="76">
        <f t="shared" si="13"/>
        <v>1.3521212121212121</v>
      </c>
      <c r="BZ125" s="76">
        <f t="shared" si="14"/>
        <v>0.81567796610169485</v>
      </c>
      <c r="CA125" s="78">
        <v>2.36</v>
      </c>
    </row>
    <row r="126" spans="39:79">
      <c r="AM126" s="102">
        <f t="shared" si="8"/>
        <v>2.48</v>
      </c>
      <c r="AN126" s="103">
        <f t="shared" si="9"/>
        <v>0.32078629032258066</v>
      </c>
      <c r="AP126" s="104">
        <f t="shared" si="10"/>
        <v>2.48</v>
      </c>
      <c r="AQ126" s="105">
        <f t="shared" si="11"/>
        <v>1.0692876344086022</v>
      </c>
      <c r="AR126" s="97"/>
      <c r="BW126" s="77">
        <f t="shared" si="12"/>
        <v>0.32911764705882357</v>
      </c>
      <c r="BX126" s="77">
        <f t="shared" si="15"/>
        <v>1.0970588235294119</v>
      </c>
      <c r="BY126" s="76">
        <f t="shared" si="13"/>
        <v>1.3563636363636364</v>
      </c>
      <c r="BZ126" s="76">
        <f t="shared" si="14"/>
        <v>0.80882352941176472</v>
      </c>
      <c r="CA126" s="78">
        <v>2.38</v>
      </c>
    </row>
    <row r="127" spans="39:79">
      <c r="AM127" s="102">
        <f t="shared" si="8"/>
        <v>2.5</v>
      </c>
      <c r="AN127" s="103">
        <f t="shared" si="9"/>
        <v>0.31919999999999993</v>
      </c>
      <c r="AP127" s="104">
        <f t="shared" si="10"/>
        <v>2.5</v>
      </c>
      <c r="AQ127" s="105">
        <f t="shared" si="11"/>
        <v>1.0639999999999998</v>
      </c>
      <c r="AR127" s="97"/>
      <c r="BW127" s="77">
        <f t="shared" si="12"/>
        <v>0.32739583333333333</v>
      </c>
      <c r="BX127" s="77">
        <f t="shared" si="15"/>
        <v>1.0913194444444445</v>
      </c>
      <c r="BY127" s="76">
        <f t="shared" si="13"/>
        <v>1.3606060606060606</v>
      </c>
      <c r="BZ127" s="76">
        <f t="shared" si="14"/>
        <v>0.80208333333333337</v>
      </c>
      <c r="CA127" s="78">
        <v>2.4</v>
      </c>
    </row>
    <row r="128" spans="39:79">
      <c r="AM128" s="102">
        <f t="shared" si="8"/>
        <v>2.52</v>
      </c>
      <c r="AN128" s="103">
        <f t="shared" si="9"/>
        <v>0.31763888888888886</v>
      </c>
      <c r="AP128" s="104">
        <f t="shared" si="10"/>
        <v>2.52</v>
      </c>
      <c r="AQ128" s="105">
        <f t="shared" si="11"/>
        <v>1.0587962962962962</v>
      </c>
      <c r="AR128" s="97"/>
      <c r="BW128" s="77">
        <f t="shared" si="12"/>
        <v>0.32570247933884294</v>
      </c>
      <c r="BX128" s="77">
        <f t="shared" si="15"/>
        <v>1.0856749311294764</v>
      </c>
      <c r="BY128" s="76">
        <f t="shared" si="13"/>
        <v>1.3648484848484848</v>
      </c>
      <c r="BZ128" s="76">
        <f t="shared" si="14"/>
        <v>0.79545454545454541</v>
      </c>
      <c r="CA128" s="78">
        <v>2.42</v>
      </c>
    </row>
    <row r="129" spans="39:79">
      <c r="AM129" s="102">
        <f t="shared" si="8"/>
        <v>2.54</v>
      </c>
      <c r="AN129" s="103">
        <f t="shared" si="9"/>
        <v>0.31610236220472437</v>
      </c>
      <c r="AP129" s="104">
        <f t="shared" si="10"/>
        <v>2.54</v>
      </c>
      <c r="AQ129" s="105">
        <f t="shared" si="11"/>
        <v>1.0536745406824146</v>
      </c>
      <c r="AR129" s="97"/>
      <c r="BW129" s="77">
        <f t="shared" si="12"/>
        <v>0.32403688524590163</v>
      </c>
      <c r="BX129" s="77">
        <f t="shared" si="15"/>
        <v>1.0801229508196721</v>
      </c>
      <c r="BY129" s="76">
        <f t="shared" si="13"/>
        <v>1.3690909090909091</v>
      </c>
      <c r="BZ129" s="76">
        <f t="shared" si="14"/>
        <v>0.78893442622950816</v>
      </c>
      <c r="CA129" s="78">
        <v>2.44</v>
      </c>
    </row>
    <row r="130" spans="39:79">
      <c r="AM130" s="102">
        <f t="shared" ref="AM130:AM193" si="16">CA135</f>
        <v>2.56</v>
      </c>
      <c r="AN130" s="103">
        <f t="shared" ref="AN130:AN193" si="17">BW135</f>
        <v>0.31458984374999999</v>
      </c>
      <c r="AP130" s="104">
        <f t="shared" ref="AP130:AP193" si="18">CA135</f>
        <v>2.56</v>
      </c>
      <c r="AQ130" s="105">
        <f t="shared" ref="AQ130:AQ193" si="19">BX135</f>
        <v>1.0486328125</v>
      </c>
      <c r="AR130" s="97"/>
      <c r="BW130" s="77">
        <f t="shared" si="12"/>
        <v>0.32239837398373983</v>
      </c>
      <c r="BX130" s="77">
        <f t="shared" si="15"/>
        <v>1.0746612466124661</v>
      </c>
      <c r="BY130" s="76">
        <f t="shared" si="13"/>
        <v>1.3733333333333333</v>
      </c>
      <c r="BZ130" s="76">
        <f t="shared" si="14"/>
        <v>0.78252032520325199</v>
      </c>
      <c r="CA130" s="78">
        <v>2.46</v>
      </c>
    </row>
    <row r="131" spans="39:79">
      <c r="AM131" s="102">
        <f t="shared" si="16"/>
        <v>2.58</v>
      </c>
      <c r="AN131" s="103">
        <f t="shared" si="17"/>
        <v>0.31310077519379842</v>
      </c>
      <c r="AP131" s="104">
        <f t="shared" si="18"/>
        <v>2.58</v>
      </c>
      <c r="AQ131" s="105">
        <f t="shared" si="19"/>
        <v>1.0436692506459948</v>
      </c>
      <c r="AR131" s="97"/>
      <c r="BW131" s="77">
        <f t="shared" si="12"/>
        <v>0.32078629032258066</v>
      </c>
      <c r="BX131" s="77">
        <f t="shared" si="15"/>
        <v>1.0692876344086022</v>
      </c>
      <c r="BY131" s="76">
        <f t="shared" si="13"/>
        <v>1.3775757575757577</v>
      </c>
      <c r="BZ131" s="76">
        <f t="shared" si="14"/>
        <v>0.77620967741935476</v>
      </c>
      <c r="CA131" s="78">
        <v>2.48</v>
      </c>
    </row>
    <row r="132" spans="39:79">
      <c r="AM132" s="102">
        <f t="shared" si="16"/>
        <v>2.6</v>
      </c>
      <c r="AN132" s="103">
        <f t="shared" si="17"/>
        <v>0.31163461538461534</v>
      </c>
      <c r="AP132" s="104">
        <f t="shared" si="18"/>
        <v>2.6</v>
      </c>
      <c r="AQ132" s="105">
        <f t="shared" si="19"/>
        <v>1.0387820512820511</v>
      </c>
      <c r="AR132" s="97"/>
      <c r="BW132" s="77">
        <f t="shared" si="12"/>
        <v>0.31919999999999993</v>
      </c>
      <c r="BX132" s="77">
        <f t="shared" si="15"/>
        <v>1.0639999999999998</v>
      </c>
      <c r="BY132" s="76">
        <f t="shared" si="13"/>
        <v>1.3818181818181818</v>
      </c>
      <c r="BZ132" s="76">
        <f t="shared" si="14"/>
        <v>0.76999999999999991</v>
      </c>
      <c r="CA132" s="78">
        <v>2.5</v>
      </c>
    </row>
    <row r="133" spans="39:79">
      <c r="AM133" s="102">
        <f t="shared" si="16"/>
        <v>2.62</v>
      </c>
      <c r="AN133" s="103">
        <f t="shared" si="17"/>
        <v>0.31019083969465638</v>
      </c>
      <c r="AP133" s="104">
        <f t="shared" si="18"/>
        <v>2.62</v>
      </c>
      <c r="AQ133" s="105">
        <f t="shared" si="19"/>
        <v>1.0339694656488547</v>
      </c>
      <c r="AR133" s="97"/>
      <c r="BW133" s="77">
        <f t="shared" si="12"/>
        <v>0.31763888888888886</v>
      </c>
      <c r="BX133" s="77">
        <f t="shared" si="15"/>
        <v>1.0587962962962962</v>
      </c>
      <c r="BY133" s="76">
        <f t="shared" si="13"/>
        <v>1.3860606060606062</v>
      </c>
      <c r="BZ133" s="76">
        <f t="shared" si="14"/>
        <v>0.76388888888888873</v>
      </c>
      <c r="CA133" s="78">
        <v>2.52</v>
      </c>
    </row>
    <row r="134" spans="39:79">
      <c r="AM134" s="102">
        <f t="shared" si="16"/>
        <v>2.64</v>
      </c>
      <c r="AN134" s="103">
        <f t="shared" si="17"/>
        <v>0.3087689393939394</v>
      </c>
      <c r="AP134" s="104">
        <f t="shared" si="18"/>
        <v>2.64</v>
      </c>
      <c r="AQ134" s="105">
        <f t="shared" si="19"/>
        <v>1.029229797979798</v>
      </c>
      <c r="AR134" s="97"/>
      <c r="BW134" s="77">
        <f t="shared" si="12"/>
        <v>0.31610236220472437</v>
      </c>
      <c r="BX134" s="77">
        <f t="shared" si="15"/>
        <v>1.0536745406824146</v>
      </c>
      <c r="BY134" s="76">
        <f t="shared" si="13"/>
        <v>1.3903030303030304</v>
      </c>
      <c r="BZ134" s="76">
        <f t="shared" si="14"/>
        <v>0.75787401574803137</v>
      </c>
      <c r="CA134" s="78">
        <v>2.54</v>
      </c>
    </row>
    <row r="135" spans="39:79">
      <c r="AM135" s="102">
        <f t="shared" si="16"/>
        <v>2.66</v>
      </c>
      <c r="AN135" s="103">
        <f t="shared" si="17"/>
        <v>0.30736842105263151</v>
      </c>
      <c r="AP135" s="104">
        <f t="shared" si="18"/>
        <v>2.66</v>
      </c>
      <c r="AQ135" s="105">
        <f t="shared" si="19"/>
        <v>1.0245614035087718</v>
      </c>
      <c r="AR135" s="97"/>
      <c r="BW135" s="77">
        <f t="shared" ref="BW135:BW198" si="20">C$18*BX135</f>
        <v>0.31458984374999999</v>
      </c>
      <c r="BX135" s="77">
        <f t="shared" si="15"/>
        <v>1.0486328125</v>
      </c>
      <c r="BY135" s="76">
        <f t="shared" ref="BY135:BY198" si="21">IF(AND(OR(T$16=BD$6,T$16=BD$7),OR(CA135&lt;_xlfn.NUMBERVALUE(V$20),CA135=_xlfn.NUMBERVALUE(V$20))),1,IF(AND(OR(T$16=BD$6,T$16=BD$7),CA135&gt;_xlfn.NUMBERVALUE(V$20),CA135&lt;4),((0.7*(CA135-V$20)/(4-V$20))+1),IF(AND(OR(T$16=BD$6,T$16=BD$7),OR(CA135&gt;4,CA135=4)),1.7,IF(AND(OR(T$16=BD$8,T$16=BD$9),OR(CA135&lt;_xlfn.NUMBERVALUE(V$20),CA135=_xlfn.NUMBERVALUE(V$20))),1,IF(AND(OR(T$16=BD$8,T$16=BD$9),CA135&gt;_xlfn.NUMBERVALUE(V$20),CA135&lt;4),((0.4*(CA135-V$20)/(4-V$20))+1),IF(AND(OR(T$16=BD$8,T$16=BD$9),OR(CA135&gt;4,CA135=4)),1.4,"Error"))))))</f>
        <v>1.3945454545454545</v>
      </c>
      <c r="BZ135" s="76">
        <f t="shared" ref="BZ135:BZ198" si="22">IF(OR(CA135&lt;_xlfn.NUMBERVALUE(AH$20),CA135=_xlfn.NUMBERVALUE(AH$20)),(C$20+((K$20-C$20+1)*(CA135/AH$20))),IF(AND(CA135&gt;_xlfn.NUMBERVALUE(AH$20),CA135&lt;_xlfn.NUMBERVALUE(V$20)),(K$20+1),IF(OR(CA135&gt;_xlfn.NUMBERVALUE(V$20),CA135=_xlfn.NUMBERVALUE(V$20)),((K$20+1)*(V$20/CA135)),"Errot")))</f>
        <v>0.751953125</v>
      </c>
      <c r="CA135" s="78">
        <v>2.56</v>
      </c>
    </row>
    <row r="136" spans="39:79">
      <c r="AM136" s="102">
        <f t="shared" si="16"/>
        <v>2.68</v>
      </c>
      <c r="AN136" s="103">
        <f t="shared" si="17"/>
        <v>0.30598880597014921</v>
      </c>
      <c r="AP136" s="104">
        <f t="shared" si="18"/>
        <v>2.68</v>
      </c>
      <c r="AQ136" s="105">
        <f t="shared" si="19"/>
        <v>1.019962686567164</v>
      </c>
      <c r="AR136" s="97"/>
      <c r="BW136" s="77">
        <f t="shared" si="20"/>
        <v>0.31310077519379842</v>
      </c>
      <c r="BX136" s="77">
        <f t="shared" ref="BX136:BX199" si="23">BZ136*BY136</f>
        <v>1.0436692506459948</v>
      </c>
      <c r="BY136" s="76">
        <f t="shared" si="21"/>
        <v>1.3987878787878789</v>
      </c>
      <c r="BZ136" s="76">
        <f t="shared" si="22"/>
        <v>0.74612403100775193</v>
      </c>
      <c r="CA136" s="78">
        <v>2.58</v>
      </c>
    </row>
    <row r="137" spans="39:79">
      <c r="AM137" s="102">
        <f t="shared" si="16"/>
        <v>2.7</v>
      </c>
      <c r="AN137" s="103">
        <f t="shared" si="17"/>
        <v>0.30462962962962964</v>
      </c>
      <c r="AP137" s="104">
        <f t="shared" si="18"/>
        <v>2.7</v>
      </c>
      <c r="AQ137" s="105">
        <f t="shared" si="19"/>
        <v>1.0154320987654322</v>
      </c>
      <c r="AR137" s="97"/>
      <c r="BW137" s="77">
        <f t="shared" si="20"/>
        <v>0.31163461538461534</v>
      </c>
      <c r="BX137" s="77">
        <f t="shared" si="23"/>
        <v>1.0387820512820511</v>
      </c>
      <c r="BY137" s="76">
        <f t="shared" si="21"/>
        <v>1.4030303030303031</v>
      </c>
      <c r="BZ137" s="76">
        <f t="shared" si="22"/>
        <v>0.74038461538461531</v>
      </c>
      <c r="CA137" s="78">
        <v>2.6</v>
      </c>
    </row>
    <row r="138" spans="39:79">
      <c r="AM138" s="102">
        <f t="shared" si="16"/>
        <v>2.72</v>
      </c>
      <c r="AN138" s="103">
        <f t="shared" si="17"/>
        <v>0.30329044117647058</v>
      </c>
      <c r="AP138" s="104">
        <f t="shared" si="18"/>
        <v>2.72</v>
      </c>
      <c r="AQ138" s="105">
        <f t="shared" si="19"/>
        <v>1.010968137254902</v>
      </c>
      <c r="AR138" s="97"/>
      <c r="BW138" s="77">
        <f t="shared" si="20"/>
        <v>0.31019083969465638</v>
      </c>
      <c r="BX138" s="77">
        <f t="shared" si="23"/>
        <v>1.0339694656488547</v>
      </c>
      <c r="BY138" s="76">
        <f t="shared" si="21"/>
        <v>1.4072727272727272</v>
      </c>
      <c r="BZ138" s="76">
        <f t="shared" si="22"/>
        <v>0.73473282442748078</v>
      </c>
      <c r="CA138" s="78">
        <v>2.62</v>
      </c>
    </row>
    <row r="139" spans="39:79">
      <c r="AM139" s="102">
        <f t="shared" si="16"/>
        <v>2.74</v>
      </c>
      <c r="AN139" s="103">
        <f t="shared" si="17"/>
        <v>0.30197080291970796</v>
      </c>
      <c r="AP139" s="104">
        <f t="shared" si="18"/>
        <v>2.74</v>
      </c>
      <c r="AQ139" s="105">
        <f t="shared" si="19"/>
        <v>1.0065693430656932</v>
      </c>
      <c r="AR139" s="97"/>
      <c r="BW139" s="77">
        <f t="shared" si="20"/>
        <v>0.3087689393939394</v>
      </c>
      <c r="BX139" s="77">
        <f t="shared" si="23"/>
        <v>1.029229797979798</v>
      </c>
      <c r="BY139" s="76">
        <f t="shared" si="21"/>
        <v>1.4115151515151516</v>
      </c>
      <c r="BZ139" s="76">
        <f t="shared" si="22"/>
        <v>0.72916666666666663</v>
      </c>
      <c r="CA139" s="78">
        <v>2.64</v>
      </c>
    </row>
    <row r="140" spans="39:79">
      <c r="AM140" s="102">
        <f t="shared" si="16"/>
        <v>2.76</v>
      </c>
      <c r="AN140" s="103">
        <f t="shared" si="17"/>
        <v>0.30067028985507255</v>
      </c>
      <c r="AP140" s="104">
        <f t="shared" si="18"/>
        <v>2.76</v>
      </c>
      <c r="AQ140" s="105">
        <f t="shared" si="19"/>
        <v>1.0022342995169085</v>
      </c>
      <c r="AR140" s="97"/>
      <c r="BW140" s="77">
        <f t="shared" si="20"/>
        <v>0.30736842105263151</v>
      </c>
      <c r="BX140" s="77">
        <f t="shared" si="23"/>
        <v>1.0245614035087718</v>
      </c>
      <c r="BY140" s="76">
        <f t="shared" si="21"/>
        <v>1.4157575757575758</v>
      </c>
      <c r="BZ140" s="76">
        <f t="shared" si="22"/>
        <v>0.72368421052631571</v>
      </c>
      <c r="CA140" s="78">
        <v>2.66</v>
      </c>
    </row>
    <row r="141" spans="39:79">
      <c r="AM141" s="102">
        <f t="shared" si="16"/>
        <v>2.78</v>
      </c>
      <c r="AN141" s="103">
        <f t="shared" si="17"/>
        <v>0.29938848920863304</v>
      </c>
      <c r="AP141" s="104">
        <f t="shared" si="18"/>
        <v>2.78</v>
      </c>
      <c r="AQ141" s="105">
        <f t="shared" si="19"/>
        <v>0.99796163069544352</v>
      </c>
      <c r="AR141" s="97"/>
      <c r="BW141" s="77">
        <f t="shared" si="20"/>
        <v>0.30598880597014921</v>
      </c>
      <c r="BX141" s="77">
        <f t="shared" si="23"/>
        <v>1.019962686567164</v>
      </c>
      <c r="BY141" s="76">
        <f t="shared" si="21"/>
        <v>1.42</v>
      </c>
      <c r="BZ141" s="76">
        <f t="shared" si="22"/>
        <v>0.71828358208955212</v>
      </c>
      <c r="CA141" s="78">
        <v>2.68</v>
      </c>
    </row>
    <row r="142" spans="39:79">
      <c r="AM142" s="102">
        <f t="shared" si="16"/>
        <v>2.8</v>
      </c>
      <c r="AN142" s="103">
        <f t="shared" si="17"/>
        <v>0.29812499999999997</v>
      </c>
      <c r="AP142" s="104">
        <f t="shared" si="18"/>
        <v>2.8</v>
      </c>
      <c r="AQ142" s="105">
        <f t="shared" si="19"/>
        <v>0.99374999999999991</v>
      </c>
      <c r="AR142" s="97"/>
      <c r="BW142" s="77">
        <f t="shared" si="20"/>
        <v>0.30462962962962964</v>
      </c>
      <c r="BX142" s="77">
        <f t="shared" si="23"/>
        <v>1.0154320987654322</v>
      </c>
      <c r="BY142" s="76">
        <f t="shared" si="21"/>
        <v>1.4242424242424243</v>
      </c>
      <c r="BZ142" s="76">
        <f t="shared" si="22"/>
        <v>0.71296296296296291</v>
      </c>
      <c r="CA142" s="78">
        <v>2.7</v>
      </c>
    </row>
    <row r="143" spans="39:79">
      <c r="AM143" s="102">
        <f t="shared" si="16"/>
        <v>2.82</v>
      </c>
      <c r="AN143" s="103">
        <f t="shared" si="17"/>
        <v>0.29687943262411348</v>
      </c>
      <c r="AP143" s="104">
        <f t="shared" si="18"/>
        <v>2.82</v>
      </c>
      <c r="AQ143" s="105">
        <f t="shared" si="19"/>
        <v>0.9895981087470449</v>
      </c>
      <c r="AR143" s="97"/>
      <c r="BW143" s="77">
        <f t="shared" si="20"/>
        <v>0.30329044117647058</v>
      </c>
      <c r="BX143" s="77">
        <f t="shared" si="23"/>
        <v>1.010968137254902</v>
      </c>
      <c r="BY143" s="76">
        <f t="shared" si="21"/>
        <v>1.4284848484848487</v>
      </c>
      <c r="BZ143" s="76">
        <f t="shared" si="22"/>
        <v>0.70772058823529405</v>
      </c>
      <c r="CA143" s="78">
        <v>2.72</v>
      </c>
    </row>
    <row r="144" spans="39:79">
      <c r="AM144" s="102">
        <f t="shared" si="16"/>
        <v>2.84</v>
      </c>
      <c r="AN144" s="103">
        <f t="shared" si="17"/>
        <v>0.2956514084507042</v>
      </c>
      <c r="AP144" s="104">
        <f t="shared" si="18"/>
        <v>2.84</v>
      </c>
      <c r="AQ144" s="105">
        <f t="shared" si="19"/>
        <v>0.98550469483568071</v>
      </c>
      <c r="AR144" s="97"/>
      <c r="BW144" s="77">
        <f t="shared" si="20"/>
        <v>0.30197080291970796</v>
      </c>
      <c r="BX144" s="77">
        <f t="shared" si="23"/>
        <v>1.0065693430656932</v>
      </c>
      <c r="BY144" s="76">
        <f t="shared" si="21"/>
        <v>1.4327272727272726</v>
      </c>
      <c r="BZ144" s="76">
        <f t="shared" si="22"/>
        <v>0.70255474452554734</v>
      </c>
      <c r="CA144" s="78">
        <v>2.74</v>
      </c>
    </row>
    <row r="145" spans="39:79">
      <c r="AM145" s="102">
        <f t="shared" si="16"/>
        <v>2.86</v>
      </c>
      <c r="AN145" s="103">
        <f t="shared" si="17"/>
        <v>0.29444055944055941</v>
      </c>
      <c r="AP145" s="104">
        <f t="shared" si="18"/>
        <v>2.86</v>
      </c>
      <c r="AQ145" s="105">
        <f t="shared" si="19"/>
        <v>0.98146853146853141</v>
      </c>
      <c r="AR145" s="97"/>
      <c r="BW145" s="77">
        <f t="shared" si="20"/>
        <v>0.30067028985507255</v>
      </c>
      <c r="BX145" s="77">
        <f t="shared" si="23"/>
        <v>1.0022342995169085</v>
      </c>
      <c r="BY145" s="76">
        <f t="shared" si="21"/>
        <v>1.436969696969697</v>
      </c>
      <c r="BZ145" s="76">
        <f t="shared" si="22"/>
        <v>0.69746376811594213</v>
      </c>
      <c r="CA145" s="78">
        <v>2.76</v>
      </c>
    </row>
    <row r="146" spans="39:79">
      <c r="AM146" s="102">
        <f t="shared" si="16"/>
        <v>2.88</v>
      </c>
      <c r="AN146" s="103">
        <f t="shared" si="17"/>
        <v>0.29324652777777777</v>
      </c>
      <c r="AP146" s="104">
        <f t="shared" si="18"/>
        <v>2.88</v>
      </c>
      <c r="AQ146" s="105">
        <f t="shared" si="19"/>
        <v>0.97748842592592589</v>
      </c>
      <c r="AR146" s="97"/>
      <c r="BW146" s="77">
        <f t="shared" si="20"/>
        <v>0.29938848920863304</v>
      </c>
      <c r="BX146" s="77">
        <f t="shared" si="23"/>
        <v>0.99796163069544352</v>
      </c>
      <c r="BY146" s="76">
        <f t="shared" si="21"/>
        <v>1.4412121212121212</v>
      </c>
      <c r="BZ146" s="76">
        <f t="shared" si="22"/>
        <v>0.69244604316546754</v>
      </c>
      <c r="CA146" s="78">
        <v>2.78</v>
      </c>
    </row>
    <row r="147" spans="39:79">
      <c r="AM147" s="102">
        <f t="shared" si="16"/>
        <v>2.9</v>
      </c>
      <c r="AN147" s="103">
        <f t="shared" si="17"/>
        <v>0.29206896551724137</v>
      </c>
      <c r="AP147" s="104">
        <f t="shared" si="18"/>
        <v>2.9</v>
      </c>
      <c r="AQ147" s="105">
        <f t="shared" si="19"/>
        <v>0.97356321839080462</v>
      </c>
      <c r="AR147" s="97"/>
      <c r="BW147" s="77">
        <f t="shared" si="20"/>
        <v>0.29812499999999997</v>
      </c>
      <c r="BX147" s="77">
        <f t="shared" si="23"/>
        <v>0.99374999999999991</v>
      </c>
      <c r="BY147" s="76">
        <f t="shared" si="21"/>
        <v>1.4454545454545453</v>
      </c>
      <c r="BZ147" s="76">
        <f t="shared" si="22"/>
        <v>0.6875</v>
      </c>
      <c r="CA147" s="78">
        <v>2.8</v>
      </c>
    </row>
    <row r="148" spans="39:79">
      <c r="AM148" s="102">
        <f t="shared" si="16"/>
        <v>2.92</v>
      </c>
      <c r="AN148" s="103">
        <f t="shared" si="17"/>
        <v>0.29090753424657534</v>
      </c>
      <c r="AP148" s="104">
        <f t="shared" si="18"/>
        <v>2.92</v>
      </c>
      <c r="AQ148" s="105">
        <f t="shared" si="19"/>
        <v>0.96969178082191776</v>
      </c>
      <c r="AR148" s="97"/>
      <c r="BW148" s="77">
        <f t="shared" si="20"/>
        <v>0.29687943262411348</v>
      </c>
      <c r="BX148" s="77">
        <f t="shared" si="23"/>
        <v>0.9895981087470449</v>
      </c>
      <c r="BY148" s="76">
        <f t="shared" si="21"/>
        <v>1.4496969696969697</v>
      </c>
      <c r="BZ148" s="76">
        <f t="shared" si="22"/>
        <v>0.68262411347517726</v>
      </c>
      <c r="CA148" s="78">
        <v>2.82</v>
      </c>
    </row>
    <row r="149" spans="39:79">
      <c r="AM149" s="102">
        <f t="shared" si="16"/>
        <v>2.94</v>
      </c>
      <c r="AN149" s="103">
        <f t="shared" si="17"/>
        <v>0.28976190476190478</v>
      </c>
      <c r="AP149" s="104">
        <f t="shared" si="18"/>
        <v>2.94</v>
      </c>
      <c r="AQ149" s="105">
        <f t="shared" si="19"/>
        <v>0.96587301587301588</v>
      </c>
      <c r="AR149" s="97"/>
      <c r="BW149" s="77">
        <f t="shared" si="20"/>
        <v>0.2956514084507042</v>
      </c>
      <c r="BX149" s="77">
        <f t="shared" si="23"/>
        <v>0.98550469483568071</v>
      </c>
      <c r="BY149" s="76">
        <f t="shared" si="21"/>
        <v>1.4539393939393939</v>
      </c>
      <c r="BZ149" s="76">
        <f t="shared" si="22"/>
        <v>0.67781690140845074</v>
      </c>
      <c r="CA149" s="78">
        <v>2.84</v>
      </c>
    </row>
    <row r="150" spans="39:79">
      <c r="AM150" s="102">
        <f t="shared" si="16"/>
        <v>2.96</v>
      </c>
      <c r="AN150" s="103">
        <f t="shared" si="17"/>
        <v>0.28863175675675679</v>
      </c>
      <c r="AP150" s="104">
        <f t="shared" si="18"/>
        <v>2.96</v>
      </c>
      <c r="AQ150" s="105">
        <f t="shared" si="19"/>
        <v>0.96210585585585595</v>
      </c>
      <c r="AR150" s="97"/>
      <c r="BW150" s="77">
        <f t="shared" si="20"/>
        <v>0.29444055944055941</v>
      </c>
      <c r="BX150" s="77">
        <f t="shared" si="23"/>
        <v>0.98146853146853141</v>
      </c>
      <c r="BY150" s="76">
        <f t="shared" si="21"/>
        <v>1.4581818181818182</v>
      </c>
      <c r="BZ150" s="76">
        <f t="shared" si="22"/>
        <v>0.67307692307692302</v>
      </c>
      <c r="CA150" s="78">
        <v>2.86</v>
      </c>
    </row>
    <row r="151" spans="39:79">
      <c r="AM151" s="102">
        <f t="shared" si="16"/>
        <v>2.98</v>
      </c>
      <c r="AN151" s="103">
        <f t="shared" si="17"/>
        <v>0.28751677852348989</v>
      </c>
      <c r="AP151" s="104">
        <f t="shared" si="18"/>
        <v>2.98</v>
      </c>
      <c r="AQ151" s="105">
        <f t="shared" si="19"/>
        <v>0.95838926174496641</v>
      </c>
      <c r="AR151" s="97"/>
      <c r="BW151" s="77">
        <f t="shared" si="20"/>
        <v>0.29324652777777777</v>
      </c>
      <c r="BX151" s="77">
        <f t="shared" si="23"/>
        <v>0.97748842592592589</v>
      </c>
      <c r="BY151" s="76">
        <f t="shared" si="21"/>
        <v>1.4624242424242424</v>
      </c>
      <c r="BZ151" s="76">
        <f t="shared" si="22"/>
        <v>0.66840277777777779</v>
      </c>
      <c r="CA151" s="78">
        <v>2.88</v>
      </c>
    </row>
    <row r="152" spans="39:79">
      <c r="AM152" s="102">
        <f t="shared" si="16"/>
        <v>3</v>
      </c>
      <c r="AN152" s="103">
        <f t="shared" si="17"/>
        <v>0.28641666666666665</v>
      </c>
      <c r="AP152" s="104">
        <f t="shared" si="18"/>
        <v>3</v>
      </c>
      <c r="AQ152" s="105">
        <f t="shared" si="19"/>
        <v>0.95472222222222214</v>
      </c>
      <c r="AR152" s="97"/>
      <c r="BW152" s="77">
        <f t="shared" si="20"/>
        <v>0.29206896551724137</v>
      </c>
      <c r="BX152" s="77">
        <f t="shared" si="23"/>
        <v>0.97356321839080462</v>
      </c>
      <c r="BY152" s="76">
        <f t="shared" si="21"/>
        <v>1.4666666666666668</v>
      </c>
      <c r="BZ152" s="76">
        <f t="shared" si="22"/>
        <v>0.6637931034482758</v>
      </c>
      <c r="CA152" s="78">
        <v>2.9</v>
      </c>
    </row>
    <row r="153" spans="39:79">
      <c r="AM153" s="102">
        <f t="shared" si="16"/>
        <v>3.02</v>
      </c>
      <c r="AN153" s="103">
        <f t="shared" si="17"/>
        <v>0.28533112582781456</v>
      </c>
      <c r="AP153" s="104">
        <f t="shared" si="18"/>
        <v>3.02</v>
      </c>
      <c r="AQ153" s="105">
        <f t="shared" si="19"/>
        <v>0.95110375275938186</v>
      </c>
      <c r="AR153" s="97"/>
      <c r="BW153" s="77">
        <f t="shared" si="20"/>
        <v>0.29090753424657534</v>
      </c>
      <c r="BX153" s="77">
        <f t="shared" si="23"/>
        <v>0.96969178082191776</v>
      </c>
      <c r="BY153" s="76">
        <f t="shared" si="21"/>
        <v>1.4709090909090909</v>
      </c>
      <c r="BZ153" s="76">
        <f t="shared" si="22"/>
        <v>0.65924657534246567</v>
      </c>
      <c r="CA153" s="78">
        <v>2.92</v>
      </c>
    </row>
    <row r="154" spans="39:79">
      <c r="AM154" s="102">
        <f t="shared" si="16"/>
        <v>3.04</v>
      </c>
      <c r="AN154" s="103">
        <f t="shared" si="17"/>
        <v>0.28425986842105261</v>
      </c>
      <c r="AP154" s="104">
        <f t="shared" si="18"/>
        <v>3.04</v>
      </c>
      <c r="AQ154" s="105">
        <f t="shared" si="19"/>
        <v>0.9475328947368421</v>
      </c>
      <c r="AR154" s="97"/>
      <c r="BW154" s="77">
        <f t="shared" si="20"/>
        <v>0.28976190476190478</v>
      </c>
      <c r="BX154" s="77">
        <f t="shared" si="23"/>
        <v>0.96587301587301588</v>
      </c>
      <c r="BY154" s="76">
        <f t="shared" si="21"/>
        <v>1.4751515151515151</v>
      </c>
      <c r="BZ154" s="76">
        <f t="shared" si="22"/>
        <v>0.65476190476190477</v>
      </c>
      <c r="CA154" s="78">
        <v>2.94</v>
      </c>
    </row>
    <row r="155" spans="39:79">
      <c r="AM155" s="102">
        <f t="shared" si="16"/>
        <v>3.06</v>
      </c>
      <c r="AN155" s="103">
        <f t="shared" si="17"/>
        <v>0.28320261437908495</v>
      </c>
      <c r="AP155" s="104">
        <f t="shared" si="18"/>
        <v>3.06</v>
      </c>
      <c r="AQ155" s="105">
        <f t="shared" si="19"/>
        <v>0.9440087145969499</v>
      </c>
      <c r="AR155" s="97"/>
      <c r="BW155" s="77">
        <f t="shared" si="20"/>
        <v>0.28863175675675679</v>
      </c>
      <c r="BX155" s="77">
        <f t="shared" si="23"/>
        <v>0.96210585585585595</v>
      </c>
      <c r="BY155" s="76">
        <f t="shared" si="21"/>
        <v>1.4793939393939395</v>
      </c>
      <c r="BZ155" s="76">
        <f t="shared" si="22"/>
        <v>0.65033783783783783</v>
      </c>
      <c r="CA155" s="78">
        <v>2.96</v>
      </c>
    </row>
    <row r="156" spans="39:79">
      <c r="AM156" s="102">
        <f t="shared" si="16"/>
        <v>3.08</v>
      </c>
      <c r="AN156" s="103">
        <f t="shared" si="17"/>
        <v>0.28215909090909091</v>
      </c>
      <c r="AP156" s="104">
        <f t="shared" si="18"/>
        <v>3.08</v>
      </c>
      <c r="AQ156" s="105">
        <f t="shared" si="19"/>
        <v>0.94053030303030305</v>
      </c>
      <c r="AR156" s="97"/>
      <c r="BW156" s="77">
        <f t="shared" si="20"/>
        <v>0.28751677852348989</v>
      </c>
      <c r="BX156" s="77">
        <f t="shared" si="23"/>
        <v>0.95838926174496641</v>
      </c>
      <c r="BY156" s="76">
        <f t="shared" si="21"/>
        <v>1.4836363636363636</v>
      </c>
      <c r="BZ156" s="76">
        <f t="shared" si="22"/>
        <v>0.64597315436241609</v>
      </c>
      <c r="CA156" s="78">
        <v>2.98</v>
      </c>
    </row>
    <row r="157" spans="39:79">
      <c r="AM157" s="102">
        <f t="shared" si="16"/>
        <v>3.1</v>
      </c>
      <c r="AN157" s="103">
        <f t="shared" si="17"/>
        <v>0.28112903225806446</v>
      </c>
      <c r="AP157" s="104">
        <f t="shared" si="18"/>
        <v>3.1</v>
      </c>
      <c r="AQ157" s="105">
        <f t="shared" si="19"/>
        <v>0.93709677419354831</v>
      </c>
      <c r="AR157" s="97"/>
      <c r="BW157" s="77">
        <f t="shared" si="20"/>
        <v>0.28641666666666665</v>
      </c>
      <c r="BX157" s="77">
        <f t="shared" si="23"/>
        <v>0.95472222222222214</v>
      </c>
      <c r="BY157" s="76">
        <f t="shared" si="21"/>
        <v>1.4878787878787878</v>
      </c>
      <c r="BZ157" s="76">
        <f t="shared" si="22"/>
        <v>0.64166666666666661</v>
      </c>
      <c r="CA157" s="78">
        <v>3</v>
      </c>
    </row>
    <row r="158" spans="39:79">
      <c r="AM158" s="102">
        <f t="shared" si="16"/>
        <v>3.12</v>
      </c>
      <c r="AN158" s="103">
        <f t="shared" si="17"/>
        <v>0.28011217948717942</v>
      </c>
      <c r="AP158" s="104">
        <f t="shared" si="18"/>
        <v>3.12</v>
      </c>
      <c r="AQ158" s="105">
        <f t="shared" si="19"/>
        <v>0.93370726495726475</v>
      </c>
      <c r="AR158" s="97"/>
      <c r="BW158" s="77">
        <f t="shared" si="20"/>
        <v>0.28533112582781456</v>
      </c>
      <c r="BX158" s="77">
        <f t="shared" si="23"/>
        <v>0.95110375275938186</v>
      </c>
      <c r="BY158" s="76">
        <f t="shared" si="21"/>
        <v>1.4921212121212122</v>
      </c>
      <c r="BZ158" s="76">
        <f t="shared" si="22"/>
        <v>0.63741721854304634</v>
      </c>
      <c r="CA158" s="78">
        <v>3.02</v>
      </c>
    </row>
    <row r="159" spans="39:79">
      <c r="AM159" s="102">
        <f t="shared" si="16"/>
        <v>3.14</v>
      </c>
      <c r="AN159" s="103">
        <f t="shared" si="17"/>
        <v>0.27910828025477702</v>
      </c>
      <c r="AP159" s="104">
        <f t="shared" si="18"/>
        <v>3.14</v>
      </c>
      <c r="AQ159" s="105">
        <f t="shared" si="19"/>
        <v>0.93036093418259014</v>
      </c>
      <c r="AR159" s="97"/>
      <c r="BW159" s="77">
        <f t="shared" si="20"/>
        <v>0.28425986842105261</v>
      </c>
      <c r="BX159" s="77">
        <f t="shared" si="23"/>
        <v>0.9475328947368421</v>
      </c>
      <c r="BY159" s="76">
        <f t="shared" si="21"/>
        <v>1.4963636363636363</v>
      </c>
      <c r="BZ159" s="76">
        <f t="shared" si="22"/>
        <v>0.63322368421052633</v>
      </c>
      <c r="CA159" s="78">
        <v>3.04</v>
      </c>
    </row>
    <row r="160" spans="39:79">
      <c r="AM160" s="102">
        <f t="shared" si="16"/>
        <v>3.16</v>
      </c>
      <c r="AN160" s="103">
        <f t="shared" si="17"/>
        <v>0.27811708860759493</v>
      </c>
      <c r="AP160" s="104">
        <f t="shared" si="18"/>
        <v>3.16</v>
      </c>
      <c r="AQ160" s="105">
        <f t="shared" si="19"/>
        <v>0.9270569620253164</v>
      </c>
      <c r="AR160" s="97"/>
      <c r="BW160" s="77">
        <f t="shared" si="20"/>
        <v>0.28320261437908495</v>
      </c>
      <c r="BX160" s="77">
        <f t="shared" si="23"/>
        <v>0.9440087145969499</v>
      </c>
      <c r="BY160" s="76">
        <f t="shared" si="21"/>
        <v>1.5006060606060607</v>
      </c>
      <c r="BZ160" s="76">
        <f t="shared" si="22"/>
        <v>0.62908496732026142</v>
      </c>
      <c r="CA160" s="78">
        <v>3.06</v>
      </c>
    </row>
    <row r="161" spans="39:79">
      <c r="AM161" s="102">
        <f t="shared" si="16"/>
        <v>3.18</v>
      </c>
      <c r="AN161" s="103">
        <f t="shared" si="17"/>
        <v>0.27713836477987419</v>
      </c>
      <c r="AP161" s="104">
        <f t="shared" si="18"/>
        <v>3.18</v>
      </c>
      <c r="AQ161" s="105">
        <f t="shared" si="19"/>
        <v>0.92379454926624727</v>
      </c>
      <c r="AR161" s="97"/>
      <c r="BW161" s="77">
        <f t="shared" si="20"/>
        <v>0.28215909090909091</v>
      </c>
      <c r="BX161" s="77">
        <f t="shared" si="23"/>
        <v>0.94053030303030305</v>
      </c>
      <c r="BY161" s="76">
        <f t="shared" si="21"/>
        <v>1.5048484848484849</v>
      </c>
      <c r="BZ161" s="76">
        <f t="shared" si="22"/>
        <v>0.625</v>
      </c>
      <c r="CA161" s="78">
        <v>3.08</v>
      </c>
    </row>
    <row r="162" spans="39:79">
      <c r="AM162" s="102">
        <f t="shared" si="16"/>
        <v>3.2</v>
      </c>
      <c r="AN162" s="103">
        <f t="shared" si="17"/>
        <v>0.27617187499999996</v>
      </c>
      <c r="AP162" s="104">
        <f t="shared" si="18"/>
        <v>3.2</v>
      </c>
      <c r="AQ162" s="105">
        <f t="shared" si="19"/>
        <v>0.92057291666666652</v>
      </c>
      <c r="AR162" s="97"/>
      <c r="BW162" s="77">
        <f t="shared" si="20"/>
        <v>0.28112903225806446</v>
      </c>
      <c r="BX162" s="77">
        <f t="shared" si="23"/>
        <v>0.93709677419354831</v>
      </c>
      <c r="BY162" s="76">
        <f t="shared" si="21"/>
        <v>1.5090909090909093</v>
      </c>
      <c r="BZ162" s="76">
        <f t="shared" si="22"/>
        <v>0.62096774193548376</v>
      </c>
      <c r="CA162" s="78">
        <v>3.1</v>
      </c>
    </row>
    <row r="163" spans="39:79">
      <c r="AM163" s="102">
        <f t="shared" si="16"/>
        <v>3.22</v>
      </c>
      <c r="AN163" s="103">
        <f t="shared" si="17"/>
        <v>0.2752173913043478</v>
      </c>
      <c r="AP163" s="104">
        <f t="shared" si="18"/>
        <v>3.22</v>
      </c>
      <c r="AQ163" s="105">
        <f t="shared" si="19"/>
        <v>0.91739130434782601</v>
      </c>
      <c r="AR163" s="97"/>
      <c r="BW163" s="77">
        <f t="shared" si="20"/>
        <v>0.28011217948717942</v>
      </c>
      <c r="BX163" s="77">
        <f t="shared" si="23"/>
        <v>0.93370726495726475</v>
      </c>
      <c r="BY163" s="76">
        <f t="shared" si="21"/>
        <v>1.5133333333333332</v>
      </c>
      <c r="BZ163" s="76">
        <f t="shared" si="22"/>
        <v>0.6169871794871794</v>
      </c>
      <c r="CA163" s="78">
        <v>3.12</v>
      </c>
    </row>
    <row r="164" spans="39:79">
      <c r="AM164" s="102">
        <f t="shared" si="16"/>
        <v>3.24</v>
      </c>
      <c r="AN164" s="103">
        <f t="shared" si="17"/>
        <v>0.27427469135802457</v>
      </c>
      <c r="AP164" s="104">
        <f t="shared" si="18"/>
        <v>3.24</v>
      </c>
      <c r="AQ164" s="105">
        <f t="shared" si="19"/>
        <v>0.91424897119341531</v>
      </c>
      <c r="AR164" s="97"/>
      <c r="BW164" s="77">
        <f t="shared" si="20"/>
        <v>0.27910828025477702</v>
      </c>
      <c r="BX164" s="77">
        <f t="shared" si="23"/>
        <v>0.93036093418259014</v>
      </c>
      <c r="BY164" s="76">
        <f t="shared" si="21"/>
        <v>1.5175757575757576</v>
      </c>
      <c r="BZ164" s="76">
        <f t="shared" si="22"/>
        <v>0.61305732484076425</v>
      </c>
      <c r="CA164" s="78">
        <v>3.14</v>
      </c>
    </row>
    <row r="165" spans="39:79">
      <c r="AM165" s="102">
        <f t="shared" si="16"/>
        <v>3.26</v>
      </c>
      <c r="AN165" s="103">
        <f t="shared" si="17"/>
        <v>0.27334355828220858</v>
      </c>
      <c r="AP165" s="104">
        <f t="shared" si="18"/>
        <v>3.26</v>
      </c>
      <c r="AQ165" s="105">
        <f t="shared" si="19"/>
        <v>0.91114519427402862</v>
      </c>
      <c r="AR165" s="97"/>
      <c r="BW165" s="77">
        <f t="shared" si="20"/>
        <v>0.27811708860759493</v>
      </c>
      <c r="BX165" s="77">
        <f t="shared" si="23"/>
        <v>0.9270569620253164</v>
      </c>
      <c r="BY165" s="76">
        <f t="shared" si="21"/>
        <v>1.521818181818182</v>
      </c>
      <c r="BZ165" s="76">
        <f t="shared" si="22"/>
        <v>0.60917721518987333</v>
      </c>
      <c r="CA165" s="78">
        <v>3.16</v>
      </c>
    </row>
    <row r="166" spans="39:79">
      <c r="AM166" s="102">
        <f t="shared" si="16"/>
        <v>3.28</v>
      </c>
      <c r="AN166" s="103">
        <f t="shared" si="17"/>
        <v>0.27242378048780491</v>
      </c>
      <c r="AP166" s="104">
        <f t="shared" si="18"/>
        <v>3.28</v>
      </c>
      <c r="AQ166" s="105">
        <f t="shared" si="19"/>
        <v>0.90807926829268304</v>
      </c>
      <c r="AR166" s="97"/>
      <c r="BW166" s="77">
        <f t="shared" si="20"/>
        <v>0.27713836477987419</v>
      </c>
      <c r="BX166" s="77">
        <f t="shared" si="23"/>
        <v>0.92379454926624727</v>
      </c>
      <c r="BY166" s="76">
        <f t="shared" si="21"/>
        <v>1.5260606060606061</v>
      </c>
      <c r="BZ166" s="76">
        <f t="shared" si="22"/>
        <v>0.60534591194968546</v>
      </c>
      <c r="CA166" s="78">
        <v>3.18</v>
      </c>
    </row>
    <row r="167" spans="39:79">
      <c r="AM167" s="102">
        <f t="shared" si="16"/>
        <v>3.3</v>
      </c>
      <c r="AN167" s="103">
        <f t="shared" si="17"/>
        <v>0.27151515151515149</v>
      </c>
      <c r="AP167" s="104">
        <f t="shared" si="18"/>
        <v>3.3</v>
      </c>
      <c r="AQ167" s="105">
        <f t="shared" si="19"/>
        <v>0.90505050505050499</v>
      </c>
      <c r="AR167" s="97"/>
      <c r="BW167" s="77">
        <f t="shared" si="20"/>
        <v>0.27617187499999996</v>
      </c>
      <c r="BX167" s="77">
        <f t="shared" si="23"/>
        <v>0.92057291666666652</v>
      </c>
      <c r="BY167" s="76">
        <f t="shared" si="21"/>
        <v>1.5303030303030303</v>
      </c>
      <c r="BZ167" s="76">
        <f t="shared" si="22"/>
        <v>0.60156249999999989</v>
      </c>
      <c r="CA167" s="78">
        <v>3.2</v>
      </c>
    </row>
    <row r="168" spans="39:79">
      <c r="AM168" s="102">
        <f t="shared" si="16"/>
        <v>3.32</v>
      </c>
      <c r="AN168" s="103">
        <f t="shared" si="17"/>
        <v>0.27061746987951801</v>
      </c>
      <c r="AP168" s="104">
        <f t="shared" si="18"/>
        <v>3.32</v>
      </c>
      <c r="AQ168" s="105">
        <f t="shared" si="19"/>
        <v>0.90205823293172682</v>
      </c>
      <c r="AR168" s="97"/>
      <c r="BW168" s="77">
        <f t="shared" si="20"/>
        <v>0.2752173913043478</v>
      </c>
      <c r="BX168" s="77">
        <f t="shared" si="23"/>
        <v>0.91739130434782601</v>
      </c>
      <c r="BY168" s="76">
        <f t="shared" si="21"/>
        <v>1.5345454545454547</v>
      </c>
      <c r="BZ168" s="76">
        <f t="shared" si="22"/>
        <v>0.59782608695652162</v>
      </c>
      <c r="CA168" s="78">
        <v>3.22</v>
      </c>
    </row>
    <row r="169" spans="39:79">
      <c r="AM169" s="102">
        <f t="shared" si="16"/>
        <v>3.34</v>
      </c>
      <c r="AN169" s="103">
        <f t="shared" si="17"/>
        <v>0.26973053892215565</v>
      </c>
      <c r="AP169" s="104">
        <f t="shared" si="18"/>
        <v>3.34</v>
      </c>
      <c r="AQ169" s="105">
        <f t="shared" si="19"/>
        <v>0.89910179640718557</v>
      </c>
      <c r="AR169" s="97"/>
      <c r="BW169" s="77">
        <f t="shared" si="20"/>
        <v>0.27427469135802457</v>
      </c>
      <c r="BX169" s="77">
        <f t="shared" si="23"/>
        <v>0.91424897119341531</v>
      </c>
      <c r="BY169" s="76">
        <f t="shared" si="21"/>
        <v>1.5387878787878786</v>
      </c>
      <c r="BZ169" s="76">
        <f t="shared" si="22"/>
        <v>0.59413580246913567</v>
      </c>
      <c r="CA169" s="78">
        <v>3.24</v>
      </c>
    </row>
    <row r="170" spans="39:79">
      <c r="AM170" s="102">
        <f t="shared" si="16"/>
        <v>3.36</v>
      </c>
      <c r="AN170" s="103">
        <f t="shared" si="17"/>
        <v>0.26885416666666662</v>
      </c>
      <c r="AP170" s="104">
        <f t="shared" si="18"/>
        <v>3.36</v>
      </c>
      <c r="AQ170" s="105">
        <f t="shared" si="19"/>
        <v>0.89618055555555542</v>
      </c>
      <c r="AR170" s="97"/>
      <c r="BW170" s="77">
        <f t="shared" si="20"/>
        <v>0.27334355828220858</v>
      </c>
      <c r="BX170" s="77">
        <f t="shared" si="23"/>
        <v>0.91114519427402862</v>
      </c>
      <c r="BY170" s="76">
        <f t="shared" si="21"/>
        <v>1.543030303030303</v>
      </c>
      <c r="BZ170" s="76">
        <f t="shared" si="22"/>
        <v>0.5904907975460123</v>
      </c>
      <c r="CA170" s="78">
        <v>3.26</v>
      </c>
    </row>
    <row r="171" spans="39:79">
      <c r="AM171" s="102">
        <f t="shared" si="16"/>
        <v>3.38</v>
      </c>
      <c r="AN171" s="103">
        <f t="shared" si="17"/>
        <v>0.26798816568047329</v>
      </c>
      <c r="AP171" s="104">
        <f t="shared" si="18"/>
        <v>3.38</v>
      </c>
      <c r="AQ171" s="105">
        <f t="shared" si="19"/>
        <v>0.89329388560157774</v>
      </c>
      <c r="AR171" s="97"/>
      <c r="BW171" s="77">
        <f t="shared" si="20"/>
        <v>0.27242378048780491</v>
      </c>
      <c r="BX171" s="77">
        <f t="shared" si="23"/>
        <v>0.90807926829268304</v>
      </c>
      <c r="BY171" s="76">
        <f t="shared" si="21"/>
        <v>1.5472727272727274</v>
      </c>
      <c r="BZ171" s="76">
        <f t="shared" si="22"/>
        <v>0.58689024390243905</v>
      </c>
      <c r="CA171" s="78">
        <v>3.28</v>
      </c>
    </row>
    <row r="172" spans="39:79">
      <c r="AM172" s="102">
        <f t="shared" si="16"/>
        <v>3.4</v>
      </c>
      <c r="AN172" s="103">
        <f t="shared" si="17"/>
        <v>0.26713235294117643</v>
      </c>
      <c r="AP172" s="104">
        <f t="shared" si="18"/>
        <v>3.4</v>
      </c>
      <c r="AQ172" s="105">
        <f t="shared" si="19"/>
        <v>0.89044117647058818</v>
      </c>
      <c r="AR172" s="97"/>
      <c r="BW172" s="77">
        <f t="shared" si="20"/>
        <v>0.27151515151515149</v>
      </c>
      <c r="BX172" s="77">
        <f t="shared" si="23"/>
        <v>0.90505050505050499</v>
      </c>
      <c r="BY172" s="76">
        <f t="shared" si="21"/>
        <v>1.5515151515151513</v>
      </c>
      <c r="BZ172" s="76">
        <f t="shared" si="22"/>
        <v>0.58333333333333337</v>
      </c>
      <c r="CA172" s="78">
        <v>3.3</v>
      </c>
    </row>
    <row r="173" spans="39:79">
      <c r="AM173" s="102">
        <f t="shared" si="16"/>
        <v>3.42</v>
      </c>
      <c r="AN173" s="103">
        <f t="shared" si="17"/>
        <v>0.26628654970760229</v>
      </c>
      <c r="AP173" s="104">
        <f t="shared" si="18"/>
        <v>3.42</v>
      </c>
      <c r="AQ173" s="105">
        <f t="shared" si="19"/>
        <v>0.88762183235867442</v>
      </c>
      <c r="AR173" s="97"/>
      <c r="BW173" s="77">
        <f t="shared" si="20"/>
        <v>0.27061746987951801</v>
      </c>
      <c r="BX173" s="77">
        <f t="shared" si="23"/>
        <v>0.90205823293172682</v>
      </c>
      <c r="BY173" s="76">
        <f t="shared" si="21"/>
        <v>1.5557575757575757</v>
      </c>
      <c r="BZ173" s="76">
        <f t="shared" si="22"/>
        <v>0.57981927710843373</v>
      </c>
      <c r="CA173" s="78">
        <v>3.32</v>
      </c>
    </row>
    <row r="174" spans="39:79">
      <c r="AM174" s="102">
        <f t="shared" si="16"/>
        <v>3.44</v>
      </c>
      <c r="AN174" s="103">
        <f t="shared" si="17"/>
        <v>0.26545058139534877</v>
      </c>
      <c r="AP174" s="104">
        <f t="shared" si="18"/>
        <v>3.44</v>
      </c>
      <c r="AQ174" s="105">
        <f t="shared" si="19"/>
        <v>0.88483527131782935</v>
      </c>
      <c r="AR174" s="97"/>
      <c r="BW174" s="77">
        <f t="shared" si="20"/>
        <v>0.26973053892215565</v>
      </c>
      <c r="BX174" s="77">
        <f t="shared" si="23"/>
        <v>0.89910179640718557</v>
      </c>
      <c r="BY174" s="76">
        <f t="shared" si="21"/>
        <v>1.56</v>
      </c>
      <c r="BZ174" s="76">
        <f t="shared" si="22"/>
        <v>0.57634730538922152</v>
      </c>
      <c r="CA174" s="78">
        <v>3.34</v>
      </c>
    </row>
    <row r="175" spans="39:79">
      <c r="AM175" s="102">
        <f t="shared" si="16"/>
        <v>3.46</v>
      </c>
      <c r="AN175" s="103">
        <f t="shared" si="17"/>
        <v>0.26462427745664735</v>
      </c>
      <c r="AP175" s="104">
        <f t="shared" si="18"/>
        <v>3.46</v>
      </c>
      <c r="AQ175" s="105">
        <f t="shared" si="19"/>
        <v>0.88208092485549117</v>
      </c>
      <c r="AR175" s="97"/>
      <c r="BW175" s="77">
        <f t="shared" si="20"/>
        <v>0.26885416666666662</v>
      </c>
      <c r="BX175" s="77">
        <f t="shared" si="23"/>
        <v>0.89618055555555542</v>
      </c>
      <c r="BY175" s="76">
        <f t="shared" si="21"/>
        <v>1.5642424242424242</v>
      </c>
      <c r="BZ175" s="76">
        <f t="shared" si="22"/>
        <v>0.57291666666666663</v>
      </c>
      <c r="CA175" s="78">
        <v>3.36</v>
      </c>
    </row>
    <row r="176" spans="39:79">
      <c r="AM176" s="102">
        <f t="shared" si="16"/>
        <v>3.48</v>
      </c>
      <c r="AN176" s="103">
        <f t="shared" si="17"/>
        <v>0.26380747126436777</v>
      </c>
      <c r="AP176" s="104">
        <f t="shared" si="18"/>
        <v>3.48</v>
      </c>
      <c r="AQ176" s="105">
        <f t="shared" si="19"/>
        <v>0.87935823754789266</v>
      </c>
      <c r="AR176" s="97"/>
      <c r="BW176" s="77">
        <f t="shared" si="20"/>
        <v>0.26798816568047329</v>
      </c>
      <c r="BX176" s="77">
        <f t="shared" si="23"/>
        <v>0.89329388560157774</v>
      </c>
      <c r="BY176" s="76">
        <f t="shared" si="21"/>
        <v>1.5684848484848484</v>
      </c>
      <c r="BZ176" s="76">
        <f t="shared" si="22"/>
        <v>0.56952662721893488</v>
      </c>
      <c r="CA176" s="78">
        <v>3.38</v>
      </c>
    </row>
    <row r="177" spans="39:79">
      <c r="AM177" s="102">
        <f t="shared" si="16"/>
        <v>3.5</v>
      </c>
      <c r="AN177" s="103">
        <f t="shared" si="17"/>
        <v>0.26299999999999996</v>
      </c>
      <c r="AP177" s="104">
        <f t="shared" si="18"/>
        <v>3.5</v>
      </c>
      <c r="AQ177" s="105">
        <f t="shared" si="19"/>
        <v>0.87666666666666648</v>
      </c>
      <c r="AR177" s="97"/>
      <c r="BW177" s="77">
        <f t="shared" si="20"/>
        <v>0.26713235294117643</v>
      </c>
      <c r="BX177" s="77">
        <f t="shared" si="23"/>
        <v>0.89044117647058818</v>
      </c>
      <c r="BY177" s="76">
        <f t="shared" si="21"/>
        <v>1.5727272727272728</v>
      </c>
      <c r="BZ177" s="76">
        <f t="shared" si="22"/>
        <v>0.56617647058823528</v>
      </c>
      <c r="CA177" s="78">
        <v>3.4</v>
      </c>
    </row>
    <row r="178" spans="39:79">
      <c r="AM178" s="102">
        <f t="shared" si="16"/>
        <v>3.52</v>
      </c>
      <c r="AN178" s="103">
        <f t="shared" si="17"/>
        <v>0.26220170454545455</v>
      </c>
      <c r="AP178" s="104">
        <f t="shared" si="18"/>
        <v>3.52</v>
      </c>
      <c r="AQ178" s="105">
        <f t="shared" si="19"/>
        <v>0.87400568181818183</v>
      </c>
      <c r="AR178" s="97"/>
      <c r="BW178" s="77">
        <f t="shared" si="20"/>
        <v>0.26628654970760229</v>
      </c>
      <c r="BX178" s="77">
        <f t="shared" si="23"/>
        <v>0.88762183235867442</v>
      </c>
      <c r="BY178" s="76">
        <f t="shared" si="21"/>
        <v>1.5769696969696969</v>
      </c>
      <c r="BZ178" s="76">
        <f t="shared" si="22"/>
        <v>0.5628654970760234</v>
      </c>
      <c r="CA178" s="78">
        <v>3.42</v>
      </c>
    </row>
    <row r="179" spans="39:79">
      <c r="AM179" s="102">
        <f t="shared" si="16"/>
        <v>3.54</v>
      </c>
      <c r="AN179" s="103">
        <f t="shared" si="17"/>
        <v>0.26141242937853104</v>
      </c>
      <c r="AP179" s="104">
        <f t="shared" si="18"/>
        <v>3.54</v>
      </c>
      <c r="AQ179" s="105">
        <f t="shared" si="19"/>
        <v>0.87137476459510355</v>
      </c>
      <c r="AR179" s="97"/>
      <c r="BW179" s="77">
        <f t="shared" si="20"/>
        <v>0.26545058139534877</v>
      </c>
      <c r="BX179" s="77">
        <f t="shared" si="23"/>
        <v>0.88483527131782935</v>
      </c>
      <c r="BY179" s="76">
        <f t="shared" si="21"/>
        <v>1.5812121212121211</v>
      </c>
      <c r="BZ179" s="76">
        <f t="shared" si="22"/>
        <v>0.55959302325581395</v>
      </c>
      <c r="CA179" s="78">
        <v>3.44</v>
      </c>
    </row>
    <row r="180" spans="39:79">
      <c r="AM180" s="102">
        <f t="shared" si="16"/>
        <v>3.56</v>
      </c>
      <c r="AN180" s="103">
        <f t="shared" si="17"/>
        <v>0.26063202247191009</v>
      </c>
      <c r="AP180" s="104">
        <f t="shared" si="18"/>
        <v>3.56</v>
      </c>
      <c r="AQ180" s="105">
        <f t="shared" si="19"/>
        <v>0.8687734082397004</v>
      </c>
      <c r="AR180" s="97"/>
      <c r="BW180" s="77">
        <f t="shared" si="20"/>
        <v>0.26462427745664735</v>
      </c>
      <c r="BX180" s="77">
        <f t="shared" si="23"/>
        <v>0.88208092485549117</v>
      </c>
      <c r="BY180" s="76">
        <f t="shared" si="21"/>
        <v>1.5854545454545454</v>
      </c>
      <c r="BZ180" s="76">
        <f t="shared" si="22"/>
        <v>0.55635838150289008</v>
      </c>
      <c r="CA180" s="78">
        <v>3.46</v>
      </c>
    </row>
    <row r="181" spans="39:79">
      <c r="AM181" s="102">
        <f t="shared" si="16"/>
        <v>3.58</v>
      </c>
      <c r="AN181" s="103">
        <f t="shared" si="17"/>
        <v>0.2598603351955307</v>
      </c>
      <c r="AP181" s="104">
        <f t="shared" si="18"/>
        <v>3.58</v>
      </c>
      <c r="AQ181" s="105">
        <f t="shared" si="19"/>
        <v>0.86620111731843574</v>
      </c>
      <c r="AR181" s="97"/>
      <c r="BW181" s="77">
        <f t="shared" si="20"/>
        <v>0.26380747126436777</v>
      </c>
      <c r="BX181" s="77">
        <f t="shared" si="23"/>
        <v>0.87935823754789266</v>
      </c>
      <c r="BY181" s="76">
        <f t="shared" si="21"/>
        <v>1.5896969696969698</v>
      </c>
      <c r="BZ181" s="76">
        <f t="shared" si="22"/>
        <v>0.55316091954022983</v>
      </c>
      <c r="CA181" s="78">
        <v>3.48</v>
      </c>
    </row>
    <row r="182" spans="39:79">
      <c r="AM182" s="102">
        <f t="shared" si="16"/>
        <v>3.6</v>
      </c>
      <c r="AN182" s="103">
        <f t="shared" si="17"/>
        <v>0.25909722222222215</v>
      </c>
      <c r="AP182" s="104">
        <f t="shared" si="18"/>
        <v>3.6</v>
      </c>
      <c r="AQ182" s="105">
        <f t="shared" si="19"/>
        <v>0.86365740740740726</v>
      </c>
      <c r="AR182" s="97"/>
      <c r="BW182" s="77">
        <f t="shared" si="20"/>
        <v>0.26299999999999996</v>
      </c>
      <c r="BX182" s="77">
        <f t="shared" si="23"/>
        <v>0.87666666666666648</v>
      </c>
      <c r="BY182" s="76">
        <f t="shared" si="21"/>
        <v>1.5939393939393938</v>
      </c>
      <c r="BZ182" s="76">
        <f t="shared" si="22"/>
        <v>0.54999999999999993</v>
      </c>
      <c r="CA182" s="78">
        <v>3.5</v>
      </c>
    </row>
    <row r="183" spans="39:79">
      <c r="AM183" s="102">
        <f t="shared" si="16"/>
        <v>3.62</v>
      </c>
      <c r="AN183" s="103">
        <f t="shared" si="17"/>
        <v>0.25834254143646407</v>
      </c>
      <c r="AP183" s="104">
        <f t="shared" si="18"/>
        <v>3.62</v>
      </c>
      <c r="AQ183" s="105">
        <f t="shared" si="19"/>
        <v>0.86114180478821356</v>
      </c>
      <c r="AR183" s="97"/>
      <c r="BW183" s="77">
        <f t="shared" si="20"/>
        <v>0.26220170454545455</v>
      </c>
      <c r="BX183" s="77">
        <f t="shared" si="23"/>
        <v>0.87400568181818183</v>
      </c>
      <c r="BY183" s="76">
        <f t="shared" si="21"/>
        <v>1.5981818181818181</v>
      </c>
      <c r="BZ183" s="76">
        <f t="shared" si="22"/>
        <v>0.546875</v>
      </c>
      <c r="CA183" s="78">
        <v>3.52</v>
      </c>
    </row>
    <row r="184" spans="39:79">
      <c r="AM184" s="102">
        <f t="shared" si="16"/>
        <v>3.64</v>
      </c>
      <c r="AN184" s="103">
        <f t="shared" si="17"/>
        <v>0.25759615384615381</v>
      </c>
      <c r="AP184" s="104">
        <f t="shared" si="18"/>
        <v>3.64</v>
      </c>
      <c r="AQ184" s="105">
        <f t="shared" si="19"/>
        <v>0.8586538461538461</v>
      </c>
      <c r="AR184" s="97"/>
      <c r="BW184" s="77">
        <f t="shared" si="20"/>
        <v>0.26141242937853104</v>
      </c>
      <c r="BX184" s="77">
        <f t="shared" si="23"/>
        <v>0.87137476459510355</v>
      </c>
      <c r="BY184" s="76">
        <f t="shared" si="21"/>
        <v>1.6024242424242425</v>
      </c>
      <c r="BZ184" s="76">
        <f t="shared" si="22"/>
        <v>0.54378531073446323</v>
      </c>
      <c r="CA184" s="78">
        <v>3.54</v>
      </c>
    </row>
    <row r="185" spans="39:79">
      <c r="AM185" s="102">
        <f t="shared" si="16"/>
        <v>3.66</v>
      </c>
      <c r="AN185" s="103">
        <f t="shared" si="17"/>
        <v>0.25685792349726777</v>
      </c>
      <c r="AP185" s="104">
        <f t="shared" si="18"/>
        <v>3.66</v>
      </c>
      <c r="AQ185" s="105">
        <f t="shared" si="19"/>
        <v>0.85619307832422586</v>
      </c>
      <c r="AR185" s="97"/>
      <c r="BW185" s="77">
        <f t="shared" si="20"/>
        <v>0.26063202247191009</v>
      </c>
      <c r="BX185" s="77">
        <f t="shared" si="23"/>
        <v>0.8687734082397004</v>
      </c>
      <c r="BY185" s="76">
        <f t="shared" si="21"/>
        <v>1.6066666666666669</v>
      </c>
      <c r="BZ185" s="76">
        <f t="shared" si="22"/>
        <v>0.54073033707865159</v>
      </c>
      <c r="CA185" s="78">
        <v>3.56</v>
      </c>
    </row>
    <row r="186" spans="39:79">
      <c r="AM186" s="102">
        <f t="shared" si="16"/>
        <v>3.68</v>
      </c>
      <c r="AN186" s="103">
        <f t="shared" si="17"/>
        <v>0.25612771739130435</v>
      </c>
      <c r="AP186" s="104">
        <f t="shared" si="18"/>
        <v>3.68</v>
      </c>
      <c r="AQ186" s="105">
        <f t="shared" si="19"/>
        <v>0.85375905797101448</v>
      </c>
      <c r="AR186" s="97"/>
      <c r="BW186" s="77">
        <f t="shared" si="20"/>
        <v>0.2598603351955307</v>
      </c>
      <c r="BX186" s="77">
        <f t="shared" si="23"/>
        <v>0.86620111731843574</v>
      </c>
      <c r="BY186" s="76">
        <f t="shared" si="21"/>
        <v>1.6109090909090908</v>
      </c>
      <c r="BZ186" s="76">
        <f t="shared" si="22"/>
        <v>0.53770949720670391</v>
      </c>
      <c r="CA186" s="78">
        <v>3.58</v>
      </c>
    </row>
    <row r="187" spans="39:79">
      <c r="AM187" s="102">
        <f t="shared" si="16"/>
        <v>3.7</v>
      </c>
      <c r="AN187" s="103">
        <f t="shared" si="17"/>
        <v>0.25540540540540529</v>
      </c>
      <c r="AP187" s="104">
        <f t="shared" si="18"/>
        <v>3.7</v>
      </c>
      <c r="AQ187" s="105">
        <f t="shared" si="19"/>
        <v>0.85135135135135109</v>
      </c>
      <c r="AR187" s="97"/>
      <c r="BW187" s="77">
        <f t="shared" si="20"/>
        <v>0.25909722222222215</v>
      </c>
      <c r="BX187" s="77">
        <f t="shared" si="23"/>
        <v>0.86365740740740726</v>
      </c>
      <c r="BY187" s="76">
        <f t="shared" si="21"/>
        <v>1.6151515151515152</v>
      </c>
      <c r="BZ187" s="76">
        <f t="shared" si="22"/>
        <v>0.5347222222222221</v>
      </c>
      <c r="CA187" s="78">
        <v>3.6</v>
      </c>
    </row>
    <row r="188" spans="39:79">
      <c r="AM188" s="102">
        <f t="shared" si="16"/>
        <v>3.72</v>
      </c>
      <c r="AN188" s="103">
        <f t="shared" si="17"/>
        <v>0.25469086021505372</v>
      </c>
      <c r="AP188" s="104">
        <f t="shared" si="18"/>
        <v>3.72</v>
      </c>
      <c r="AQ188" s="105">
        <f t="shared" si="19"/>
        <v>0.84896953405017905</v>
      </c>
      <c r="AR188" s="97"/>
      <c r="BW188" s="77">
        <f t="shared" si="20"/>
        <v>0.25834254143646407</v>
      </c>
      <c r="BX188" s="77">
        <f t="shared" si="23"/>
        <v>0.86114180478821356</v>
      </c>
      <c r="BY188" s="76">
        <f t="shared" si="21"/>
        <v>1.6193939393939394</v>
      </c>
      <c r="BZ188" s="76">
        <f t="shared" si="22"/>
        <v>0.53176795580110492</v>
      </c>
      <c r="CA188" s="78">
        <v>3.62</v>
      </c>
    </row>
    <row r="189" spans="39:79">
      <c r="AM189" s="102">
        <f t="shared" si="16"/>
        <v>3.74</v>
      </c>
      <c r="AN189" s="103">
        <f t="shared" si="17"/>
        <v>0.25398395721925127</v>
      </c>
      <c r="AP189" s="104">
        <f t="shared" si="18"/>
        <v>3.74</v>
      </c>
      <c r="AQ189" s="105">
        <f t="shared" si="19"/>
        <v>0.84661319073083763</v>
      </c>
      <c r="AR189" s="97"/>
      <c r="BW189" s="77">
        <f t="shared" si="20"/>
        <v>0.25759615384615381</v>
      </c>
      <c r="BX189" s="77">
        <f t="shared" si="23"/>
        <v>0.8586538461538461</v>
      </c>
      <c r="BY189" s="76">
        <f t="shared" si="21"/>
        <v>1.6236363636363638</v>
      </c>
      <c r="BZ189" s="76">
        <f t="shared" si="22"/>
        <v>0.52884615384615374</v>
      </c>
      <c r="CA189" s="78">
        <v>3.64</v>
      </c>
    </row>
    <row r="190" spans="39:79">
      <c r="AM190" s="102">
        <f t="shared" si="16"/>
        <v>3.76</v>
      </c>
      <c r="AN190" s="103">
        <f t="shared" si="17"/>
        <v>0.25328457446808506</v>
      </c>
      <c r="AP190" s="104">
        <f t="shared" si="18"/>
        <v>3.76</v>
      </c>
      <c r="AQ190" s="105">
        <f t="shared" si="19"/>
        <v>0.84428191489361681</v>
      </c>
      <c r="AR190" s="97"/>
      <c r="BW190" s="77">
        <f t="shared" si="20"/>
        <v>0.25685792349726777</v>
      </c>
      <c r="BX190" s="77">
        <f t="shared" si="23"/>
        <v>0.85619307832422586</v>
      </c>
      <c r="BY190" s="76">
        <f t="shared" si="21"/>
        <v>1.6278787878787879</v>
      </c>
      <c r="BZ190" s="76">
        <f t="shared" si="22"/>
        <v>0.52595628415300544</v>
      </c>
      <c r="CA190" s="78">
        <v>3.66</v>
      </c>
    </row>
    <row r="191" spans="39:79">
      <c r="AM191" s="102">
        <f t="shared" si="16"/>
        <v>3.78</v>
      </c>
      <c r="AN191" s="103">
        <f t="shared" si="17"/>
        <v>0.25259259259259254</v>
      </c>
      <c r="AP191" s="104">
        <f t="shared" si="18"/>
        <v>3.78</v>
      </c>
      <c r="AQ191" s="105">
        <f t="shared" si="19"/>
        <v>0.84197530864197523</v>
      </c>
      <c r="AR191" s="97"/>
      <c r="BW191" s="77">
        <f t="shared" si="20"/>
        <v>0.25612771739130435</v>
      </c>
      <c r="BX191" s="77">
        <f t="shared" si="23"/>
        <v>0.85375905797101448</v>
      </c>
      <c r="BY191" s="76">
        <f t="shared" si="21"/>
        <v>1.6321212121212123</v>
      </c>
      <c r="BZ191" s="76">
        <f t="shared" si="22"/>
        <v>0.52309782608695643</v>
      </c>
      <c r="CA191" s="78">
        <v>3.68</v>
      </c>
    </row>
    <row r="192" spans="39:79">
      <c r="AM192" s="102">
        <f t="shared" si="16"/>
        <v>3.8</v>
      </c>
      <c r="AN192" s="103">
        <f t="shared" si="17"/>
        <v>0.25190789473684205</v>
      </c>
      <c r="AP192" s="104">
        <f t="shared" si="18"/>
        <v>3.8</v>
      </c>
      <c r="AQ192" s="105">
        <f t="shared" si="19"/>
        <v>0.83969298245614021</v>
      </c>
      <c r="AR192" s="97"/>
      <c r="BW192" s="77">
        <f t="shared" si="20"/>
        <v>0.25540540540540529</v>
      </c>
      <c r="BX192" s="77">
        <f t="shared" si="23"/>
        <v>0.85135135135135109</v>
      </c>
      <c r="BY192" s="76">
        <f t="shared" si="21"/>
        <v>1.6363636363636362</v>
      </c>
      <c r="BZ192" s="76">
        <f t="shared" si="22"/>
        <v>0.52027027027027017</v>
      </c>
      <c r="CA192" s="78">
        <v>3.7</v>
      </c>
    </row>
    <row r="193" spans="39:79">
      <c r="AM193" s="102">
        <f t="shared" si="16"/>
        <v>3.82</v>
      </c>
      <c r="AN193" s="103">
        <f t="shared" si="17"/>
        <v>0.25123036649214658</v>
      </c>
      <c r="AP193" s="104">
        <f t="shared" si="18"/>
        <v>3.82</v>
      </c>
      <c r="AQ193" s="105">
        <f t="shared" si="19"/>
        <v>0.83743455497382191</v>
      </c>
      <c r="AR193" s="97"/>
      <c r="BW193" s="77">
        <f t="shared" si="20"/>
        <v>0.25469086021505372</v>
      </c>
      <c r="BX193" s="77">
        <f t="shared" si="23"/>
        <v>0.84896953405017905</v>
      </c>
      <c r="BY193" s="76">
        <f t="shared" si="21"/>
        <v>1.6406060606060606</v>
      </c>
      <c r="BZ193" s="76">
        <f t="shared" si="22"/>
        <v>0.51747311827956977</v>
      </c>
      <c r="CA193" s="78">
        <v>3.72</v>
      </c>
    </row>
    <row r="194" spans="39:79">
      <c r="AM194" s="102">
        <f t="shared" ref="AM194:AM257" si="24">CA199</f>
        <v>3.84</v>
      </c>
      <c r="AN194" s="103">
        <f t="shared" ref="AN194:AN257" si="25">BW199</f>
        <v>0.25055989583333327</v>
      </c>
      <c r="AP194" s="104">
        <f t="shared" ref="AP194:AP257" si="26">CA199</f>
        <v>3.84</v>
      </c>
      <c r="AQ194" s="105">
        <f t="shared" ref="AQ194:AQ257" si="27">BX199</f>
        <v>0.83519965277777763</v>
      </c>
      <c r="AR194" s="97"/>
      <c r="BW194" s="77">
        <f t="shared" si="20"/>
        <v>0.25398395721925127</v>
      </c>
      <c r="BX194" s="77">
        <f t="shared" si="23"/>
        <v>0.84661319073083763</v>
      </c>
      <c r="BY194" s="76">
        <f t="shared" si="21"/>
        <v>1.6448484848484848</v>
      </c>
      <c r="BZ194" s="76">
        <f t="shared" si="22"/>
        <v>0.51470588235294112</v>
      </c>
      <c r="CA194" s="78">
        <v>3.74</v>
      </c>
    </row>
    <row r="195" spans="39:79">
      <c r="AM195" s="102">
        <f t="shared" si="24"/>
        <v>3.86</v>
      </c>
      <c r="AN195" s="103">
        <f t="shared" si="25"/>
        <v>0.2498963730569948</v>
      </c>
      <c r="AP195" s="104">
        <f t="shared" si="26"/>
        <v>3.86</v>
      </c>
      <c r="AQ195" s="105">
        <f t="shared" si="27"/>
        <v>0.83298791018998275</v>
      </c>
      <c r="AR195" s="97"/>
      <c r="BW195" s="77">
        <f t="shared" si="20"/>
        <v>0.25328457446808506</v>
      </c>
      <c r="BX195" s="77">
        <f t="shared" si="23"/>
        <v>0.84428191489361681</v>
      </c>
      <c r="BY195" s="76">
        <f t="shared" si="21"/>
        <v>1.6490909090909089</v>
      </c>
      <c r="BZ195" s="76">
        <f t="shared" si="22"/>
        <v>0.51196808510638292</v>
      </c>
      <c r="CA195" s="78">
        <v>3.76</v>
      </c>
    </row>
    <row r="196" spans="39:79">
      <c r="AM196" s="102">
        <f t="shared" si="24"/>
        <v>3.88</v>
      </c>
      <c r="AN196" s="103">
        <f t="shared" si="25"/>
        <v>0.24923969072164945</v>
      </c>
      <c r="AP196" s="104">
        <f t="shared" si="26"/>
        <v>3.88</v>
      </c>
      <c r="AQ196" s="105">
        <f t="shared" si="27"/>
        <v>0.83079896907216488</v>
      </c>
      <c r="AR196" s="97"/>
      <c r="BW196" s="77">
        <f t="shared" si="20"/>
        <v>0.25259259259259254</v>
      </c>
      <c r="BX196" s="77">
        <f t="shared" si="23"/>
        <v>0.84197530864197523</v>
      </c>
      <c r="BY196" s="76">
        <f t="shared" si="21"/>
        <v>1.6533333333333333</v>
      </c>
      <c r="BZ196" s="76">
        <f t="shared" si="22"/>
        <v>0.50925925925925919</v>
      </c>
      <c r="CA196" s="78">
        <v>3.78</v>
      </c>
    </row>
    <row r="197" spans="39:79">
      <c r="AM197" s="102">
        <f t="shared" si="24"/>
        <v>3.9</v>
      </c>
      <c r="AN197" s="103">
        <f t="shared" si="25"/>
        <v>0.24858974358974359</v>
      </c>
      <c r="AP197" s="104">
        <f t="shared" si="26"/>
        <v>3.9</v>
      </c>
      <c r="AQ197" s="105">
        <f t="shared" si="27"/>
        <v>0.82863247863247869</v>
      </c>
      <c r="AR197" s="97"/>
      <c r="BW197" s="77">
        <f t="shared" si="20"/>
        <v>0.25190789473684205</v>
      </c>
      <c r="BX197" s="77">
        <f t="shared" si="23"/>
        <v>0.83969298245614021</v>
      </c>
      <c r="BY197" s="76">
        <f t="shared" si="21"/>
        <v>1.6575757575757575</v>
      </c>
      <c r="BZ197" s="76">
        <f t="shared" si="22"/>
        <v>0.50657894736842102</v>
      </c>
      <c r="CA197" s="78">
        <v>3.8</v>
      </c>
    </row>
    <row r="198" spans="39:79">
      <c r="AM198" s="102">
        <f t="shared" si="24"/>
        <v>3.92</v>
      </c>
      <c r="AN198" s="103">
        <f t="shared" si="25"/>
        <v>0.24794642857142857</v>
      </c>
      <c r="AP198" s="104">
        <f t="shared" si="26"/>
        <v>3.92</v>
      </c>
      <c r="AQ198" s="105">
        <f t="shared" si="27"/>
        <v>0.8264880952380953</v>
      </c>
      <c r="AR198" s="97"/>
      <c r="BW198" s="77">
        <f t="shared" si="20"/>
        <v>0.25123036649214658</v>
      </c>
      <c r="BX198" s="77">
        <f t="shared" si="23"/>
        <v>0.83743455497382191</v>
      </c>
      <c r="BY198" s="76">
        <f t="shared" si="21"/>
        <v>1.6618181818181816</v>
      </c>
      <c r="BZ198" s="76">
        <f t="shared" si="22"/>
        <v>0.50392670157068065</v>
      </c>
      <c r="CA198" s="78">
        <v>3.82</v>
      </c>
    </row>
    <row r="199" spans="39:79">
      <c r="AM199" s="102">
        <f t="shared" si="24"/>
        <v>3.94</v>
      </c>
      <c r="AN199" s="103">
        <f t="shared" si="25"/>
        <v>0.24730964467005073</v>
      </c>
      <c r="AP199" s="104">
        <f t="shared" si="26"/>
        <v>3.94</v>
      </c>
      <c r="AQ199" s="105">
        <f t="shared" si="27"/>
        <v>0.82436548223350248</v>
      </c>
      <c r="AR199" s="97"/>
      <c r="BW199" s="77">
        <f t="shared" ref="BW199:BW262" si="28">C$18*BX199</f>
        <v>0.25055989583333327</v>
      </c>
      <c r="BX199" s="77">
        <f t="shared" si="23"/>
        <v>0.83519965277777763</v>
      </c>
      <c r="BY199" s="76">
        <f t="shared" ref="BY199:BY262" si="29">IF(AND(OR(T$16=BD$6,T$16=BD$7),OR(CA199&lt;_xlfn.NUMBERVALUE(V$20),CA199=_xlfn.NUMBERVALUE(V$20))),1,IF(AND(OR(T$16=BD$6,T$16=BD$7),CA199&gt;_xlfn.NUMBERVALUE(V$20),CA199&lt;4),((0.7*(CA199-V$20)/(4-V$20))+1),IF(AND(OR(T$16=BD$6,T$16=BD$7),OR(CA199&gt;4,CA199=4)),1.7,IF(AND(OR(T$16=BD$8,T$16=BD$9),OR(CA199&lt;_xlfn.NUMBERVALUE(V$20),CA199=_xlfn.NUMBERVALUE(V$20))),1,IF(AND(OR(T$16=BD$8,T$16=BD$9),CA199&gt;_xlfn.NUMBERVALUE(V$20),CA199&lt;4),((0.4*(CA199-V$20)/(4-V$20))+1),IF(AND(OR(T$16=BD$8,T$16=BD$9),OR(CA199&gt;4,CA199=4)),1.4,"Error"))))))</f>
        <v>1.666060606060606</v>
      </c>
      <c r="BZ199" s="76">
        <f t="shared" ref="BZ199:BZ262" si="30">IF(OR(CA199&lt;_xlfn.NUMBERVALUE(AH$20),CA199=_xlfn.NUMBERVALUE(AH$20)),(C$20+((K$20-C$20+1)*(CA199/AH$20))),IF(AND(CA199&gt;_xlfn.NUMBERVALUE(AH$20),CA199&lt;_xlfn.NUMBERVALUE(V$20)),(K$20+1),IF(OR(CA199&gt;_xlfn.NUMBERVALUE(V$20),CA199=_xlfn.NUMBERVALUE(V$20)),((K$20+1)*(V$20/CA199)),"Errot")))</f>
        <v>0.50130208333333326</v>
      </c>
      <c r="CA199" s="78">
        <v>3.84</v>
      </c>
    </row>
    <row r="200" spans="39:79">
      <c r="AM200" s="102">
        <f t="shared" si="24"/>
        <v>3.96</v>
      </c>
      <c r="AN200" s="103">
        <f t="shared" si="25"/>
        <v>0.24667929292929291</v>
      </c>
      <c r="AP200" s="104">
        <f t="shared" si="26"/>
        <v>3.96</v>
      </c>
      <c r="AQ200" s="105">
        <f t="shared" si="27"/>
        <v>0.82226430976430975</v>
      </c>
      <c r="AR200" s="97"/>
      <c r="BW200" s="77">
        <f t="shared" si="28"/>
        <v>0.2498963730569948</v>
      </c>
      <c r="BX200" s="77">
        <f t="shared" ref="BX200:BX263" si="31">BZ200*BY200</f>
        <v>0.83298791018998275</v>
      </c>
      <c r="BY200" s="76">
        <f t="shared" si="29"/>
        <v>1.6703030303030304</v>
      </c>
      <c r="BZ200" s="76">
        <f t="shared" si="30"/>
        <v>0.49870466321243523</v>
      </c>
      <c r="CA200" s="78">
        <v>3.86</v>
      </c>
    </row>
    <row r="201" spans="39:79">
      <c r="AM201" s="102">
        <f t="shared" si="24"/>
        <v>3.98</v>
      </c>
      <c r="AN201" s="103">
        <f t="shared" si="25"/>
        <v>0.24605527638190952</v>
      </c>
      <c r="AP201" s="104">
        <f t="shared" si="26"/>
        <v>3.98</v>
      </c>
      <c r="AQ201" s="105">
        <f t="shared" si="27"/>
        <v>0.82018425460636513</v>
      </c>
      <c r="AR201" s="97"/>
      <c r="BW201" s="77">
        <f t="shared" si="28"/>
        <v>0.24923969072164945</v>
      </c>
      <c r="BX201" s="77">
        <f t="shared" si="31"/>
        <v>0.83079896907216488</v>
      </c>
      <c r="BY201" s="76">
        <f t="shared" si="29"/>
        <v>1.6745454545454543</v>
      </c>
      <c r="BZ201" s="76">
        <f t="shared" si="30"/>
        <v>0.49613402061855671</v>
      </c>
      <c r="CA201" s="78">
        <v>3.88</v>
      </c>
    </row>
    <row r="202" spans="39:79">
      <c r="AM202" s="102">
        <f t="shared" si="24"/>
        <v>4</v>
      </c>
      <c r="AN202" s="103">
        <f t="shared" si="25"/>
        <v>0.24543749999999995</v>
      </c>
      <c r="AP202" s="104">
        <f t="shared" si="26"/>
        <v>4</v>
      </c>
      <c r="AQ202" s="105">
        <f t="shared" si="27"/>
        <v>0.81812499999999988</v>
      </c>
      <c r="AR202" s="97"/>
      <c r="BW202" s="77">
        <f t="shared" si="28"/>
        <v>0.24858974358974359</v>
      </c>
      <c r="BX202" s="77">
        <f t="shared" si="31"/>
        <v>0.82863247863247869</v>
      </c>
      <c r="BY202" s="76">
        <f t="shared" si="29"/>
        <v>1.6787878787878787</v>
      </c>
      <c r="BZ202" s="76">
        <f t="shared" si="30"/>
        <v>0.49358974358974361</v>
      </c>
      <c r="CA202" s="78">
        <v>3.9</v>
      </c>
    </row>
    <row r="203" spans="39:79">
      <c r="AM203" s="102">
        <f t="shared" si="24"/>
        <v>4.0199999999999996</v>
      </c>
      <c r="AN203" s="103">
        <f t="shared" si="25"/>
        <v>0.24421641791044776</v>
      </c>
      <c r="AP203" s="104">
        <f t="shared" si="26"/>
        <v>4.0199999999999996</v>
      </c>
      <c r="AQ203" s="105">
        <f t="shared" si="27"/>
        <v>0.81405472636815923</v>
      </c>
      <c r="AR203" s="97"/>
      <c r="BW203" s="77">
        <f t="shared" si="28"/>
        <v>0.24794642857142857</v>
      </c>
      <c r="BX203" s="77">
        <f t="shared" si="31"/>
        <v>0.8264880952380953</v>
      </c>
      <c r="BY203" s="76">
        <f t="shared" si="29"/>
        <v>1.6830303030303031</v>
      </c>
      <c r="BZ203" s="76">
        <f t="shared" si="30"/>
        <v>0.4910714285714286</v>
      </c>
      <c r="CA203" s="78">
        <v>3.92</v>
      </c>
    </row>
    <row r="204" spans="39:79">
      <c r="AM204" s="102">
        <f t="shared" si="24"/>
        <v>4.04</v>
      </c>
      <c r="AN204" s="103">
        <f t="shared" si="25"/>
        <v>0.24300742574257425</v>
      </c>
      <c r="AP204" s="104">
        <f t="shared" si="26"/>
        <v>4.04</v>
      </c>
      <c r="AQ204" s="105">
        <f t="shared" si="27"/>
        <v>0.81002475247524752</v>
      </c>
      <c r="AR204" s="97"/>
      <c r="BW204" s="77">
        <f t="shared" si="28"/>
        <v>0.24730964467005073</v>
      </c>
      <c r="BX204" s="77">
        <f t="shared" si="31"/>
        <v>0.82436548223350248</v>
      </c>
      <c r="BY204" s="76">
        <f t="shared" si="29"/>
        <v>1.6872727272727273</v>
      </c>
      <c r="BZ204" s="76">
        <f t="shared" si="30"/>
        <v>0.48857868020304562</v>
      </c>
      <c r="CA204" s="78">
        <v>3.94</v>
      </c>
    </row>
    <row r="205" spans="39:79">
      <c r="AM205" s="102">
        <f t="shared" si="24"/>
        <v>4.0599999999999996</v>
      </c>
      <c r="AN205" s="103">
        <f t="shared" si="25"/>
        <v>0.24181034482758618</v>
      </c>
      <c r="AP205" s="104">
        <f t="shared" si="26"/>
        <v>4.0599999999999996</v>
      </c>
      <c r="AQ205" s="105">
        <f t="shared" si="27"/>
        <v>0.80603448275862066</v>
      </c>
      <c r="AR205" s="97"/>
      <c r="BW205" s="77">
        <f t="shared" si="28"/>
        <v>0.24667929292929291</v>
      </c>
      <c r="BX205" s="77">
        <f t="shared" si="31"/>
        <v>0.82226430976430975</v>
      </c>
      <c r="BY205" s="76">
        <f t="shared" si="29"/>
        <v>1.6915151515151514</v>
      </c>
      <c r="BZ205" s="76">
        <f t="shared" si="30"/>
        <v>0.4861111111111111</v>
      </c>
      <c r="CA205" s="78">
        <v>3.96</v>
      </c>
    </row>
    <row r="206" spans="39:79">
      <c r="AM206" s="102">
        <f t="shared" si="24"/>
        <v>4.08</v>
      </c>
      <c r="AN206" s="103">
        <f t="shared" si="25"/>
        <v>0.24062499999999992</v>
      </c>
      <c r="AP206" s="104">
        <f t="shared" si="26"/>
        <v>4.08</v>
      </c>
      <c r="AQ206" s="105">
        <f t="shared" si="27"/>
        <v>0.80208333333333315</v>
      </c>
      <c r="AR206" s="97"/>
      <c r="BW206" s="77">
        <f t="shared" si="28"/>
        <v>0.24605527638190952</v>
      </c>
      <c r="BX206" s="77">
        <f t="shared" si="31"/>
        <v>0.82018425460636513</v>
      </c>
      <c r="BY206" s="76">
        <f t="shared" si="29"/>
        <v>1.6957575757575758</v>
      </c>
      <c r="BZ206" s="76">
        <f t="shared" si="30"/>
        <v>0.48366834170854267</v>
      </c>
      <c r="CA206" s="78">
        <v>3.98</v>
      </c>
    </row>
    <row r="207" spans="39:79">
      <c r="AM207" s="102">
        <f t="shared" si="24"/>
        <v>4.0999999999999996</v>
      </c>
      <c r="AN207" s="103">
        <f t="shared" si="25"/>
        <v>0.23945121951219511</v>
      </c>
      <c r="AP207" s="104">
        <f t="shared" si="26"/>
        <v>4.0999999999999996</v>
      </c>
      <c r="AQ207" s="105">
        <f t="shared" si="27"/>
        <v>0.79817073170731712</v>
      </c>
      <c r="AR207" s="97"/>
      <c r="BW207" s="77">
        <f t="shared" si="28"/>
        <v>0.24543749999999995</v>
      </c>
      <c r="BX207" s="77">
        <f t="shared" si="31"/>
        <v>0.81812499999999988</v>
      </c>
      <c r="BY207" s="76">
        <f t="shared" si="29"/>
        <v>1.7</v>
      </c>
      <c r="BZ207" s="76">
        <f t="shared" si="30"/>
        <v>0.48124999999999996</v>
      </c>
      <c r="CA207" s="78">
        <v>4</v>
      </c>
    </row>
    <row r="208" spans="39:79">
      <c r="AM208" s="102">
        <f t="shared" si="24"/>
        <v>4.12</v>
      </c>
      <c r="AN208" s="103">
        <f t="shared" si="25"/>
        <v>0.23828883495145628</v>
      </c>
      <c r="AP208" s="104">
        <f t="shared" si="26"/>
        <v>4.12</v>
      </c>
      <c r="AQ208" s="105">
        <f t="shared" si="27"/>
        <v>0.79429611650485432</v>
      </c>
      <c r="AR208" s="97"/>
      <c r="BW208" s="77">
        <f t="shared" si="28"/>
        <v>0.24421641791044776</v>
      </c>
      <c r="BX208" s="77">
        <f t="shared" si="31"/>
        <v>0.81405472636815923</v>
      </c>
      <c r="BY208" s="76">
        <f t="shared" si="29"/>
        <v>1.7</v>
      </c>
      <c r="BZ208" s="76">
        <f t="shared" si="30"/>
        <v>0.47885572139303484</v>
      </c>
      <c r="CA208" s="78">
        <v>4.0199999999999996</v>
      </c>
    </row>
    <row r="209" spans="39:79">
      <c r="AM209" s="102">
        <f t="shared" si="24"/>
        <v>4.1399999999999997</v>
      </c>
      <c r="AN209" s="103">
        <f t="shared" si="25"/>
        <v>0.23713768115942027</v>
      </c>
      <c r="AP209" s="104">
        <f t="shared" si="26"/>
        <v>4.1399999999999997</v>
      </c>
      <c r="AQ209" s="105">
        <f t="shared" si="27"/>
        <v>0.79045893719806759</v>
      </c>
      <c r="AR209" s="97"/>
      <c r="BW209" s="77">
        <f t="shared" si="28"/>
        <v>0.24300742574257425</v>
      </c>
      <c r="BX209" s="77">
        <f t="shared" si="31"/>
        <v>0.81002475247524752</v>
      </c>
      <c r="BY209" s="76">
        <f t="shared" si="29"/>
        <v>1.7</v>
      </c>
      <c r="BZ209" s="76">
        <f t="shared" si="30"/>
        <v>0.47648514851485146</v>
      </c>
      <c r="CA209" s="78">
        <v>4.04</v>
      </c>
    </row>
    <row r="210" spans="39:79">
      <c r="AM210" s="102">
        <f t="shared" si="24"/>
        <v>4.16</v>
      </c>
      <c r="AN210" s="103">
        <f t="shared" si="25"/>
        <v>0.23599759615384611</v>
      </c>
      <c r="AP210" s="104">
        <f t="shared" si="26"/>
        <v>4.16</v>
      </c>
      <c r="AQ210" s="105">
        <f t="shared" si="27"/>
        <v>0.78665865384615374</v>
      </c>
      <c r="AR210" s="97"/>
      <c r="BW210" s="77">
        <f t="shared" si="28"/>
        <v>0.24181034482758618</v>
      </c>
      <c r="BX210" s="77">
        <f t="shared" si="31"/>
        <v>0.80603448275862066</v>
      </c>
      <c r="BY210" s="76">
        <f t="shared" si="29"/>
        <v>1.7</v>
      </c>
      <c r="BZ210" s="76">
        <f t="shared" si="30"/>
        <v>0.47413793103448276</v>
      </c>
      <c r="CA210" s="78">
        <v>4.0599999999999996</v>
      </c>
    </row>
    <row r="211" spans="39:79">
      <c r="AM211" s="102">
        <f t="shared" si="24"/>
        <v>4.18</v>
      </c>
      <c r="AN211" s="103">
        <f t="shared" si="25"/>
        <v>0.23486842105263159</v>
      </c>
      <c r="AP211" s="104">
        <f t="shared" si="26"/>
        <v>4.18</v>
      </c>
      <c r="AQ211" s="105">
        <f t="shared" si="27"/>
        <v>0.78289473684210531</v>
      </c>
      <c r="AR211" s="97"/>
      <c r="BW211" s="77">
        <f t="shared" si="28"/>
        <v>0.24062499999999992</v>
      </c>
      <c r="BX211" s="77">
        <f t="shared" si="31"/>
        <v>0.80208333333333315</v>
      </c>
      <c r="BY211" s="76">
        <f t="shared" si="29"/>
        <v>1.7</v>
      </c>
      <c r="BZ211" s="76">
        <f t="shared" si="30"/>
        <v>0.47181372549019601</v>
      </c>
      <c r="CA211" s="78">
        <v>4.08</v>
      </c>
    </row>
    <row r="212" spans="39:79">
      <c r="AM212" s="102">
        <f t="shared" si="24"/>
        <v>4.2</v>
      </c>
      <c r="AN212" s="103">
        <f t="shared" si="25"/>
        <v>0.23374999999999996</v>
      </c>
      <c r="AP212" s="104">
        <f t="shared" si="26"/>
        <v>4.2</v>
      </c>
      <c r="AQ212" s="105">
        <f t="shared" si="27"/>
        <v>0.77916666666666656</v>
      </c>
      <c r="AR212" s="97"/>
      <c r="BW212" s="77">
        <f t="shared" si="28"/>
        <v>0.23945121951219511</v>
      </c>
      <c r="BX212" s="77">
        <f t="shared" si="31"/>
        <v>0.79817073170731712</v>
      </c>
      <c r="BY212" s="76">
        <f t="shared" si="29"/>
        <v>1.7</v>
      </c>
      <c r="BZ212" s="76">
        <f t="shared" si="30"/>
        <v>0.46951219512195125</v>
      </c>
      <c r="CA212" s="78">
        <v>4.0999999999999996</v>
      </c>
    </row>
    <row r="213" spans="39:79">
      <c r="AM213" s="102">
        <f t="shared" si="24"/>
        <v>4.22</v>
      </c>
      <c r="AN213" s="103">
        <f t="shared" si="25"/>
        <v>0.23264218009478671</v>
      </c>
      <c r="AP213" s="104">
        <f t="shared" si="26"/>
        <v>4.22</v>
      </c>
      <c r="AQ213" s="105">
        <f t="shared" si="27"/>
        <v>0.77547393364928907</v>
      </c>
      <c r="AR213" s="97"/>
      <c r="BW213" s="77">
        <f t="shared" si="28"/>
        <v>0.23828883495145628</v>
      </c>
      <c r="BX213" s="77">
        <f t="shared" si="31"/>
        <v>0.79429611650485432</v>
      </c>
      <c r="BY213" s="76">
        <f t="shared" si="29"/>
        <v>1.7</v>
      </c>
      <c r="BZ213" s="76">
        <f t="shared" si="30"/>
        <v>0.46723300970873782</v>
      </c>
      <c r="CA213" s="78">
        <v>4.12</v>
      </c>
    </row>
    <row r="214" spans="39:79">
      <c r="AM214" s="102">
        <f t="shared" si="24"/>
        <v>4.24</v>
      </c>
      <c r="AN214" s="103">
        <f t="shared" si="25"/>
        <v>0.23154481132075466</v>
      </c>
      <c r="AP214" s="104">
        <f t="shared" si="26"/>
        <v>4.24</v>
      </c>
      <c r="AQ214" s="105">
        <f t="shared" si="27"/>
        <v>0.77181603773584895</v>
      </c>
      <c r="AR214" s="97"/>
      <c r="BW214" s="77">
        <f t="shared" si="28"/>
        <v>0.23713768115942027</v>
      </c>
      <c r="BX214" s="77">
        <f t="shared" si="31"/>
        <v>0.79045893719806759</v>
      </c>
      <c r="BY214" s="76">
        <f t="shared" si="29"/>
        <v>1.7</v>
      </c>
      <c r="BZ214" s="76">
        <f t="shared" si="30"/>
        <v>0.46497584541062803</v>
      </c>
      <c r="CA214" s="78">
        <v>4.1399999999999997</v>
      </c>
    </row>
    <row r="215" spans="39:79">
      <c r="AM215" s="102">
        <f t="shared" si="24"/>
        <v>4.26</v>
      </c>
      <c r="AN215" s="103">
        <f t="shared" si="25"/>
        <v>0.23045774647887321</v>
      </c>
      <c r="AP215" s="104">
        <f t="shared" si="26"/>
        <v>4.26</v>
      </c>
      <c r="AQ215" s="105">
        <f t="shared" si="27"/>
        <v>0.76819248826291076</v>
      </c>
      <c r="AR215" s="97"/>
      <c r="BW215" s="77">
        <f t="shared" si="28"/>
        <v>0.23599759615384611</v>
      </c>
      <c r="BX215" s="77">
        <f t="shared" si="31"/>
        <v>0.78665865384615374</v>
      </c>
      <c r="BY215" s="76">
        <f t="shared" si="29"/>
        <v>1.7</v>
      </c>
      <c r="BZ215" s="76">
        <f t="shared" si="30"/>
        <v>0.46274038461538458</v>
      </c>
      <c r="CA215" s="78">
        <v>4.16</v>
      </c>
    </row>
    <row r="216" spans="39:79">
      <c r="AM216" s="102">
        <f t="shared" si="24"/>
        <v>4.28</v>
      </c>
      <c r="AN216" s="103">
        <f t="shared" si="25"/>
        <v>0.22938084112149529</v>
      </c>
      <c r="AP216" s="104">
        <f t="shared" si="26"/>
        <v>4.28</v>
      </c>
      <c r="AQ216" s="105">
        <f t="shared" si="27"/>
        <v>0.76460280373831768</v>
      </c>
      <c r="AR216" s="97"/>
      <c r="BW216" s="77">
        <f t="shared" si="28"/>
        <v>0.23486842105263159</v>
      </c>
      <c r="BX216" s="77">
        <f t="shared" si="31"/>
        <v>0.78289473684210531</v>
      </c>
      <c r="BY216" s="76">
        <f t="shared" si="29"/>
        <v>1.7</v>
      </c>
      <c r="BZ216" s="76">
        <f t="shared" si="30"/>
        <v>0.46052631578947373</v>
      </c>
      <c r="CA216" s="78">
        <v>4.18</v>
      </c>
    </row>
    <row r="217" spans="39:79">
      <c r="AM217" s="102">
        <f t="shared" si="24"/>
        <v>4.3</v>
      </c>
      <c r="AN217" s="103">
        <f t="shared" si="25"/>
        <v>0.22831395348837208</v>
      </c>
      <c r="AP217" s="104">
        <f t="shared" si="26"/>
        <v>4.3</v>
      </c>
      <c r="AQ217" s="105">
        <f t="shared" si="27"/>
        <v>0.76104651162790693</v>
      </c>
      <c r="AR217" s="97"/>
      <c r="BW217" s="77">
        <f t="shared" si="28"/>
        <v>0.23374999999999996</v>
      </c>
      <c r="BX217" s="77">
        <f t="shared" si="31"/>
        <v>0.77916666666666656</v>
      </c>
      <c r="BY217" s="76">
        <f t="shared" si="29"/>
        <v>1.7</v>
      </c>
      <c r="BZ217" s="76">
        <f t="shared" si="30"/>
        <v>0.45833333333333331</v>
      </c>
      <c r="CA217" s="78">
        <v>4.2</v>
      </c>
    </row>
    <row r="218" spans="39:79">
      <c r="AM218" s="102">
        <f t="shared" si="24"/>
        <v>4.32</v>
      </c>
      <c r="AN218" s="103">
        <f t="shared" si="25"/>
        <v>0.22725694444444436</v>
      </c>
      <c r="AP218" s="104">
        <f t="shared" si="26"/>
        <v>4.32</v>
      </c>
      <c r="AQ218" s="105">
        <f t="shared" si="27"/>
        <v>0.75752314814814792</v>
      </c>
      <c r="AR218" s="97"/>
      <c r="BW218" s="77">
        <f t="shared" si="28"/>
        <v>0.23264218009478671</v>
      </c>
      <c r="BX218" s="77">
        <f t="shared" si="31"/>
        <v>0.77547393364928907</v>
      </c>
      <c r="BY218" s="76">
        <f t="shared" si="29"/>
        <v>1.7</v>
      </c>
      <c r="BZ218" s="76">
        <f t="shared" si="30"/>
        <v>0.45616113744075826</v>
      </c>
      <c r="CA218" s="78">
        <v>4.22</v>
      </c>
    </row>
    <row r="219" spans="39:79">
      <c r="AM219" s="102">
        <f t="shared" si="24"/>
        <v>4.34</v>
      </c>
      <c r="AN219" s="103">
        <f t="shared" si="25"/>
        <v>0.22620967741935483</v>
      </c>
      <c r="AP219" s="104">
        <f t="shared" si="26"/>
        <v>4.34</v>
      </c>
      <c r="AQ219" s="105">
        <f t="shared" si="27"/>
        <v>0.75403225806451613</v>
      </c>
      <c r="AR219" s="97"/>
      <c r="BW219" s="77">
        <f t="shared" si="28"/>
        <v>0.23154481132075466</v>
      </c>
      <c r="BX219" s="77">
        <f t="shared" si="31"/>
        <v>0.77181603773584895</v>
      </c>
      <c r="BY219" s="76">
        <f t="shared" si="29"/>
        <v>1.7</v>
      </c>
      <c r="BZ219" s="76">
        <f t="shared" si="30"/>
        <v>0.45400943396226412</v>
      </c>
      <c r="CA219" s="78">
        <v>4.24</v>
      </c>
    </row>
    <row r="220" spans="39:79">
      <c r="AM220" s="102">
        <f t="shared" si="24"/>
        <v>4.3600000000000003</v>
      </c>
      <c r="AN220" s="103">
        <f t="shared" si="25"/>
        <v>0.2251720183486238</v>
      </c>
      <c r="AP220" s="104">
        <f t="shared" si="26"/>
        <v>4.3600000000000003</v>
      </c>
      <c r="AQ220" s="105">
        <f t="shared" si="27"/>
        <v>0.75057339449541272</v>
      </c>
      <c r="AR220" s="97"/>
      <c r="BW220" s="77">
        <f t="shared" si="28"/>
        <v>0.23045774647887321</v>
      </c>
      <c r="BX220" s="77">
        <f t="shared" si="31"/>
        <v>0.76819248826291076</v>
      </c>
      <c r="BY220" s="76">
        <f t="shared" si="29"/>
        <v>1.7</v>
      </c>
      <c r="BZ220" s="76">
        <f t="shared" si="30"/>
        <v>0.45187793427230044</v>
      </c>
      <c r="CA220" s="78">
        <v>4.26</v>
      </c>
    </row>
    <row r="221" spans="39:79">
      <c r="AM221" s="102">
        <f t="shared" si="24"/>
        <v>4.38</v>
      </c>
      <c r="AN221" s="103">
        <f t="shared" si="25"/>
        <v>0.22414383561643833</v>
      </c>
      <c r="AP221" s="104">
        <f t="shared" si="26"/>
        <v>4.38</v>
      </c>
      <c r="AQ221" s="105">
        <f t="shared" si="27"/>
        <v>0.74714611872146108</v>
      </c>
      <c r="AR221" s="97"/>
      <c r="BW221" s="77">
        <f t="shared" si="28"/>
        <v>0.22938084112149529</v>
      </c>
      <c r="BX221" s="77">
        <f t="shared" si="31"/>
        <v>0.76460280373831768</v>
      </c>
      <c r="BY221" s="76">
        <f t="shared" si="29"/>
        <v>1.7</v>
      </c>
      <c r="BZ221" s="76">
        <f t="shared" si="30"/>
        <v>0.44976635514018687</v>
      </c>
      <c r="CA221" s="78">
        <v>4.28</v>
      </c>
    </row>
    <row r="222" spans="39:79">
      <c r="AM222" s="102">
        <f t="shared" si="24"/>
        <v>4.4000000000000004</v>
      </c>
      <c r="AN222" s="103">
        <f t="shared" si="25"/>
        <v>0.22312499999999993</v>
      </c>
      <c r="AP222" s="104">
        <f t="shared" si="26"/>
        <v>4.4000000000000004</v>
      </c>
      <c r="AQ222" s="105">
        <f t="shared" si="27"/>
        <v>0.7437499999999998</v>
      </c>
      <c r="AR222" s="97"/>
      <c r="BW222" s="77">
        <f t="shared" si="28"/>
        <v>0.22831395348837208</v>
      </c>
      <c r="BX222" s="77">
        <f t="shared" si="31"/>
        <v>0.76104651162790693</v>
      </c>
      <c r="BY222" s="76">
        <f t="shared" si="29"/>
        <v>1.7</v>
      </c>
      <c r="BZ222" s="76">
        <f t="shared" si="30"/>
        <v>0.44767441860465113</v>
      </c>
      <c r="CA222" s="78">
        <v>4.3</v>
      </c>
    </row>
    <row r="223" spans="39:79">
      <c r="AM223" s="102">
        <f t="shared" si="24"/>
        <v>4.42</v>
      </c>
      <c r="AN223" s="103">
        <f t="shared" si="25"/>
        <v>0.22211538461538463</v>
      </c>
      <c r="AP223" s="104">
        <f t="shared" si="26"/>
        <v>4.42</v>
      </c>
      <c r="AQ223" s="105">
        <f t="shared" si="27"/>
        <v>0.74038461538461542</v>
      </c>
      <c r="AR223" s="97"/>
      <c r="BW223" s="77">
        <f t="shared" si="28"/>
        <v>0.22725694444444436</v>
      </c>
      <c r="BX223" s="77">
        <f t="shared" si="31"/>
        <v>0.75752314814814792</v>
      </c>
      <c r="BY223" s="76">
        <f t="shared" si="29"/>
        <v>1.7</v>
      </c>
      <c r="BZ223" s="76">
        <f t="shared" si="30"/>
        <v>0.44560185185185175</v>
      </c>
      <c r="CA223" s="78">
        <v>4.32</v>
      </c>
    </row>
    <row r="224" spans="39:79">
      <c r="AM224" s="102">
        <f t="shared" si="24"/>
        <v>4.4400000000000004</v>
      </c>
      <c r="AN224" s="103">
        <f t="shared" si="25"/>
        <v>0.22111486486486481</v>
      </c>
      <c r="AP224" s="104">
        <f t="shared" si="26"/>
        <v>4.4400000000000004</v>
      </c>
      <c r="AQ224" s="105">
        <f t="shared" si="27"/>
        <v>0.73704954954954938</v>
      </c>
      <c r="AR224" s="97"/>
      <c r="BW224" s="77">
        <f t="shared" si="28"/>
        <v>0.22620967741935483</v>
      </c>
      <c r="BX224" s="77">
        <f t="shared" si="31"/>
        <v>0.75403225806451613</v>
      </c>
      <c r="BY224" s="76">
        <f t="shared" si="29"/>
        <v>1.7</v>
      </c>
      <c r="BZ224" s="76">
        <f t="shared" si="30"/>
        <v>0.44354838709677419</v>
      </c>
      <c r="CA224" s="78">
        <v>4.34</v>
      </c>
    </row>
    <row r="225" spans="39:79">
      <c r="AM225" s="102">
        <f t="shared" si="24"/>
        <v>4.46</v>
      </c>
      <c r="AN225" s="103">
        <f t="shared" si="25"/>
        <v>0.22012331838565019</v>
      </c>
      <c r="AP225" s="104">
        <f t="shared" si="26"/>
        <v>4.46</v>
      </c>
      <c r="AQ225" s="105">
        <f t="shared" si="27"/>
        <v>0.73374439461883401</v>
      </c>
      <c r="AR225" s="97"/>
      <c r="BW225" s="77">
        <f t="shared" si="28"/>
        <v>0.2251720183486238</v>
      </c>
      <c r="BX225" s="77">
        <f t="shared" si="31"/>
        <v>0.75057339449541272</v>
      </c>
      <c r="BY225" s="76">
        <f t="shared" si="29"/>
        <v>1.7</v>
      </c>
      <c r="BZ225" s="76">
        <f t="shared" si="30"/>
        <v>0.44151376146788984</v>
      </c>
      <c r="CA225" s="78">
        <v>4.3600000000000003</v>
      </c>
    </row>
    <row r="226" spans="39:79">
      <c r="AM226" s="102">
        <f t="shared" si="24"/>
        <v>4.4800000000000004</v>
      </c>
      <c r="AN226" s="103">
        <f t="shared" si="25"/>
        <v>0.21914062499999995</v>
      </c>
      <c r="AP226" s="104">
        <f t="shared" si="26"/>
        <v>4.4800000000000004</v>
      </c>
      <c r="AQ226" s="105">
        <f t="shared" si="27"/>
        <v>0.73046874999999989</v>
      </c>
      <c r="AR226" s="97"/>
      <c r="BW226" s="77">
        <f t="shared" si="28"/>
        <v>0.22414383561643833</v>
      </c>
      <c r="BX226" s="77">
        <f t="shared" si="31"/>
        <v>0.74714611872146108</v>
      </c>
      <c r="BY226" s="76">
        <f t="shared" si="29"/>
        <v>1.7</v>
      </c>
      <c r="BZ226" s="76">
        <f t="shared" si="30"/>
        <v>0.43949771689497713</v>
      </c>
      <c r="CA226" s="78">
        <v>4.38</v>
      </c>
    </row>
    <row r="227" spans="39:79">
      <c r="AM227" s="102">
        <f t="shared" si="24"/>
        <v>4.5</v>
      </c>
      <c r="AN227" s="103">
        <f t="shared" si="25"/>
        <v>0.21816666666666665</v>
      </c>
      <c r="AP227" s="104">
        <f t="shared" si="26"/>
        <v>4.5</v>
      </c>
      <c r="AQ227" s="105">
        <f t="shared" si="27"/>
        <v>0.72722222222222221</v>
      </c>
      <c r="AR227" s="97"/>
      <c r="BW227" s="77">
        <f t="shared" si="28"/>
        <v>0.22312499999999993</v>
      </c>
      <c r="BX227" s="77">
        <f t="shared" si="31"/>
        <v>0.7437499999999998</v>
      </c>
      <c r="BY227" s="76">
        <f t="shared" si="29"/>
        <v>1.7</v>
      </c>
      <c r="BZ227" s="76">
        <f t="shared" si="30"/>
        <v>0.43749999999999989</v>
      </c>
      <c r="CA227" s="78">
        <v>4.4000000000000004</v>
      </c>
    </row>
    <row r="228" spans="39:79">
      <c r="AM228" s="102">
        <f t="shared" si="24"/>
        <v>4.5199999999999996</v>
      </c>
      <c r="AN228" s="103">
        <f t="shared" si="25"/>
        <v>0.2172013274336283</v>
      </c>
      <c r="AP228" s="104">
        <f t="shared" si="26"/>
        <v>4.5199999999999996</v>
      </c>
      <c r="AQ228" s="105">
        <f t="shared" si="27"/>
        <v>0.72400442477876104</v>
      </c>
      <c r="AR228" s="97"/>
      <c r="BW228" s="77">
        <f t="shared" si="28"/>
        <v>0.22211538461538463</v>
      </c>
      <c r="BX228" s="77">
        <f t="shared" si="31"/>
        <v>0.74038461538461542</v>
      </c>
      <c r="BY228" s="76">
        <f t="shared" si="29"/>
        <v>1.7</v>
      </c>
      <c r="BZ228" s="76">
        <f t="shared" si="30"/>
        <v>0.43552036199095023</v>
      </c>
      <c r="CA228" s="78">
        <v>4.42</v>
      </c>
    </row>
    <row r="229" spans="39:79">
      <c r="AM229" s="102">
        <f t="shared" si="24"/>
        <v>4.54</v>
      </c>
      <c r="AN229" s="103">
        <f t="shared" si="25"/>
        <v>0.21624449339207041</v>
      </c>
      <c r="AP229" s="104">
        <f t="shared" si="26"/>
        <v>4.54</v>
      </c>
      <c r="AQ229" s="105">
        <f t="shared" si="27"/>
        <v>0.72081497797356808</v>
      </c>
      <c r="AR229" s="97"/>
      <c r="BW229" s="77">
        <f t="shared" si="28"/>
        <v>0.22111486486486481</v>
      </c>
      <c r="BX229" s="77">
        <f t="shared" si="31"/>
        <v>0.73704954954954938</v>
      </c>
      <c r="BY229" s="76">
        <f t="shared" si="29"/>
        <v>1.7</v>
      </c>
      <c r="BZ229" s="76">
        <f t="shared" si="30"/>
        <v>0.43355855855855846</v>
      </c>
      <c r="CA229" s="78">
        <v>4.4400000000000004</v>
      </c>
    </row>
    <row r="230" spans="39:79">
      <c r="AM230" s="102">
        <f t="shared" si="24"/>
        <v>4.5599999999999996</v>
      </c>
      <c r="AN230" s="103">
        <f t="shared" si="25"/>
        <v>0.21529605263157894</v>
      </c>
      <c r="AP230" s="104">
        <f t="shared" si="26"/>
        <v>4.5599999999999996</v>
      </c>
      <c r="AQ230" s="105">
        <f t="shared" si="27"/>
        <v>0.71765350877192979</v>
      </c>
      <c r="AR230" s="97"/>
      <c r="BW230" s="77">
        <f t="shared" si="28"/>
        <v>0.22012331838565019</v>
      </c>
      <c r="BX230" s="77">
        <f t="shared" si="31"/>
        <v>0.73374439461883401</v>
      </c>
      <c r="BY230" s="76">
        <f t="shared" si="29"/>
        <v>1.7</v>
      </c>
      <c r="BZ230" s="76">
        <f t="shared" si="30"/>
        <v>0.43161434977578472</v>
      </c>
      <c r="CA230" s="78">
        <v>4.46</v>
      </c>
    </row>
    <row r="231" spans="39:79">
      <c r="AM231" s="102">
        <f t="shared" si="24"/>
        <v>4.58</v>
      </c>
      <c r="AN231" s="103">
        <f t="shared" si="25"/>
        <v>0.21435589519650655</v>
      </c>
      <c r="AP231" s="104">
        <f t="shared" si="26"/>
        <v>4.58</v>
      </c>
      <c r="AQ231" s="105">
        <f t="shared" si="27"/>
        <v>0.71451965065502188</v>
      </c>
      <c r="AR231" s="97"/>
      <c r="BW231" s="77">
        <f t="shared" si="28"/>
        <v>0.21914062499999995</v>
      </c>
      <c r="BX231" s="77">
        <f t="shared" si="31"/>
        <v>0.73046874999999989</v>
      </c>
      <c r="BY231" s="76">
        <f t="shared" si="29"/>
        <v>1.7</v>
      </c>
      <c r="BZ231" s="76">
        <f t="shared" si="30"/>
        <v>0.42968749999999994</v>
      </c>
      <c r="CA231" s="78">
        <v>4.4800000000000004</v>
      </c>
    </row>
    <row r="232" spans="39:79">
      <c r="AM232" s="102">
        <f t="shared" si="24"/>
        <v>4.5999999999999996</v>
      </c>
      <c r="AN232" s="103">
        <f t="shared" si="25"/>
        <v>0.21342391304347824</v>
      </c>
      <c r="AP232" s="104">
        <f t="shared" si="26"/>
        <v>4.5999999999999996</v>
      </c>
      <c r="AQ232" s="105">
        <f t="shared" si="27"/>
        <v>0.71141304347826084</v>
      </c>
      <c r="AR232" s="97"/>
      <c r="BW232" s="77">
        <f t="shared" si="28"/>
        <v>0.21816666666666665</v>
      </c>
      <c r="BX232" s="77">
        <f t="shared" si="31"/>
        <v>0.72722222222222221</v>
      </c>
      <c r="BY232" s="76">
        <f t="shared" si="29"/>
        <v>1.7</v>
      </c>
      <c r="BZ232" s="76">
        <f t="shared" si="30"/>
        <v>0.42777777777777781</v>
      </c>
      <c r="CA232" s="78">
        <v>4.5</v>
      </c>
    </row>
    <row r="233" spans="39:79">
      <c r="AM233" s="102">
        <f t="shared" si="24"/>
        <v>4.62</v>
      </c>
      <c r="AN233" s="103">
        <f t="shared" si="25"/>
        <v>0.21249999999999997</v>
      </c>
      <c r="AP233" s="104">
        <f t="shared" si="26"/>
        <v>4.62</v>
      </c>
      <c r="AQ233" s="105">
        <f t="shared" si="27"/>
        <v>0.70833333333333326</v>
      </c>
      <c r="AR233" s="97"/>
      <c r="BW233" s="77">
        <f t="shared" si="28"/>
        <v>0.2172013274336283</v>
      </c>
      <c r="BX233" s="77">
        <f t="shared" si="31"/>
        <v>0.72400442477876104</v>
      </c>
      <c r="BY233" s="76">
        <f t="shared" si="29"/>
        <v>1.7</v>
      </c>
      <c r="BZ233" s="76">
        <f t="shared" si="30"/>
        <v>0.42588495575221236</v>
      </c>
      <c r="CA233" s="78">
        <v>4.5199999999999996</v>
      </c>
    </row>
    <row r="234" spans="39:79">
      <c r="AM234" s="102">
        <f t="shared" si="24"/>
        <v>4.6399999999999997</v>
      </c>
      <c r="AN234" s="103">
        <f t="shared" si="25"/>
        <v>0.21158405172413791</v>
      </c>
      <c r="AP234" s="104">
        <f t="shared" si="26"/>
        <v>4.6399999999999997</v>
      </c>
      <c r="AQ234" s="105">
        <f t="shared" si="27"/>
        <v>0.70528017241379304</v>
      </c>
      <c r="AR234" s="97"/>
      <c r="BW234" s="77">
        <f t="shared" si="28"/>
        <v>0.21624449339207041</v>
      </c>
      <c r="BX234" s="77">
        <f t="shared" si="31"/>
        <v>0.72081497797356808</v>
      </c>
      <c r="BY234" s="76">
        <f t="shared" si="29"/>
        <v>1.7</v>
      </c>
      <c r="BZ234" s="76">
        <f t="shared" si="30"/>
        <v>0.42400881057268713</v>
      </c>
      <c r="CA234" s="78">
        <v>4.54</v>
      </c>
    </row>
    <row r="235" spans="39:79">
      <c r="AM235" s="102">
        <f t="shared" si="24"/>
        <v>4.66</v>
      </c>
      <c r="AN235" s="103">
        <f t="shared" si="25"/>
        <v>0.21067596566523603</v>
      </c>
      <c r="AP235" s="104">
        <f t="shared" si="26"/>
        <v>4.66</v>
      </c>
      <c r="AQ235" s="105">
        <f t="shared" si="27"/>
        <v>0.70225321888412007</v>
      </c>
      <c r="AR235" s="97"/>
      <c r="BW235" s="77">
        <f t="shared" si="28"/>
        <v>0.21529605263157894</v>
      </c>
      <c r="BX235" s="77">
        <f t="shared" si="31"/>
        <v>0.71765350877192979</v>
      </c>
      <c r="BY235" s="76">
        <f t="shared" si="29"/>
        <v>1.7</v>
      </c>
      <c r="BZ235" s="76">
        <f t="shared" si="30"/>
        <v>0.42214912280701755</v>
      </c>
      <c r="CA235" s="78">
        <v>4.5599999999999996</v>
      </c>
    </row>
    <row r="236" spans="39:79">
      <c r="AM236" s="102">
        <f t="shared" si="24"/>
        <v>4.68</v>
      </c>
      <c r="AN236" s="103">
        <f t="shared" si="25"/>
        <v>0.209775641025641</v>
      </c>
      <c r="AP236" s="104">
        <f t="shared" si="26"/>
        <v>4.68</v>
      </c>
      <c r="AQ236" s="105">
        <f t="shared" si="27"/>
        <v>0.69925213675213671</v>
      </c>
      <c r="AR236" s="97"/>
      <c r="BW236" s="77">
        <f t="shared" si="28"/>
        <v>0.21435589519650655</v>
      </c>
      <c r="BX236" s="77">
        <f t="shared" si="31"/>
        <v>0.71451965065502188</v>
      </c>
      <c r="BY236" s="76">
        <f t="shared" si="29"/>
        <v>1.7</v>
      </c>
      <c r="BZ236" s="76">
        <f t="shared" si="30"/>
        <v>0.4203056768558952</v>
      </c>
      <c r="CA236" s="78">
        <v>4.58</v>
      </c>
    </row>
    <row r="237" spans="39:79">
      <c r="AM237" s="102">
        <f t="shared" si="24"/>
        <v>4.7</v>
      </c>
      <c r="AN237" s="103">
        <f t="shared" si="25"/>
        <v>0.20888297872340419</v>
      </c>
      <c r="AP237" s="104">
        <f t="shared" si="26"/>
        <v>4.7</v>
      </c>
      <c r="AQ237" s="105">
        <f t="shared" si="27"/>
        <v>0.6962765957446807</v>
      </c>
      <c r="AR237" s="97"/>
      <c r="BW237" s="77">
        <f t="shared" si="28"/>
        <v>0.21342391304347824</v>
      </c>
      <c r="BX237" s="77">
        <f t="shared" si="31"/>
        <v>0.71141304347826084</v>
      </c>
      <c r="BY237" s="76">
        <f t="shared" si="29"/>
        <v>1.7</v>
      </c>
      <c r="BZ237" s="76">
        <f t="shared" si="30"/>
        <v>0.41847826086956524</v>
      </c>
      <c r="CA237" s="78">
        <v>4.5999999999999996</v>
      </c>
    </row>
    <row r="238" spans="39:79">
      <c r="AM238" s="102">
        <f t="shared" si="24"/>
        <v>4.72</v>
      </c>
      <c r="AN238" s="103">
        <f t="shared" si="25"/>
        <v>0.2079978813559322</v>
      </c>
      <c r="AP238" s="104">
        <f t="shared" si="26"/>
        <v>4.72</v>
      </c>
      <c r="AQ238" s="105">
        <f t="shared" si="27"/>
        <v>0.69332627118644063</v>
      </c>
      <c r="AR238" s="97"/>
      <c r="BW238" s="77">
        <f t="shared" si="28"/>
        <v>0.21249999999999997</v>
      </c>
      <c r="BX238" s="77">
        <f t="shared" si="31"/>
        <v>0.70833333333333326</v>
      </c>
      <c r="BY238" s="76">
        <f t="shared" si="29"/>
        <v>1.7</v>
      </c>
      <c r="BZ238" s="76">
        <f t="shared" si="30"/>
        <v>0.41666666666666663</v>
      </c>
      <c r="CA238" s="78">
        <v>4.62</v>
      </c>
    </row>
    <row r="239" spans="39:79">
      <c r="AM239" s="102">
        <f t="shared" si="24"/>
        <v>4.74</v>
      </c>
      <c r="AN239" s="103">
        <f t="shared" si="25"/>
        <v>0.20712025316455693</v>
      </c>
      <c r="AP239" s="104">
        <f t="shared" si="26"/>
        <v>4.74</v>
      </c>
      <c r="AQ239" s="105">
        <f t="shared" si="27"/>
        <v>0.69040084388185641</v>
      </c>
      <c r="AR239" s="97"/>
      <c r="BW239" s="77">
        <f t="shared" si="28"/>
        <v>0.21158405172413791</v>
      </c>
      <c r="BX239" s="77">
        <f t="shared" si="31"/>
        <v>0.70528017241379304</v>
      </c>
      <c r="BY239" s="76">
        <f t="shared" si="29"/>
        <v>1.7</v>
      </c>
      <c r="BZ239" s="76">
        <f t="shared" si="30"/>
        <v>0.41487068965517238</v>
      </c>
      <c r="CA239" s="78">
        <v>4.6399999999999997</v>
      </c>
    </row>
    <row r="240" spans="39:79">
      <c r="AM240" s="102">
        <f t="shared" si="24"/>
        <v>4.76</v>
      </c>
      <c r="AN240" s="103">
        <f t="shared" si="25"/>
        <v>0.20624999999999999</v>
      </c>
      <c r="AP240" s="104">
        <f t="shared" si="26"/>
        <v>4.76</v>
      </c>
      <c r="AQ240" s="105">
        <f t="shared" si="27"/>
        <v>0.6875</v>
      </c>
      <c r="AR240" s="97"/>
      <c r="BW240" s="77">
        <f t="shared" si="28"/>
        <v>0.21067596566523603</v>
      </c>
      <c r="BX240" s="77">
        <f t="shared" si="31"/>
        <v>0.70225321888412007</v>
      </c>
      <c r="BY240" s="76">
        <f t="shared" si="29"/>
        <v>1.7</v>
      </c>
      <c r="BZ240" s="76">
        <f t="shared" si="30"/>
        <v>0.41309012875536477</v>
      </c>
      <c r="CA240" s="78">
        <v>4.66</v>
      </c>
    </row>
    <row r="241" spans="39:79">
      <c r="AM241" s="102">
        <f t="shared" si="24"/>
        <v>4.78</v>
      </c>
      <c r="AN241" s="103">
        <f t="shared" si="25"/>
        <v>0.20538702928870289</v>
      </c>
      <c r="AP241" s="104">
        <f t="shared" si="26"/>
        <v>4.78</v>
      </c>
      <c r="AQ241" s="105">
        <f t="shared" si="27"/>
        <v>0.68462343096234302</v>
      </c>
      <c r="AR241" s="97"/>
      <c r="BW241" s="77">
        <f t="shared" si="28"/>
        <v>0.209775641025641</v>
      </c>
      <c r="BX241" s="77">
        <f t="shared" si="31"/>
        <v>0.69925213675213671</v>
      </c>
      <c r="BY241" s="76">
        <f t="shared" si="29"/>
        <v>1.7</v>
      </c>
      <c r="BZ241" s="76">
        <f t="shared" si="30"/>
        <v>0.41132478632478631</v>
      </c>
      <c r="CA241" s="78">
        <v>4.68</v>
      </c>
    </row>
    <row r="242" spans="39:79">
      <c r="AM242" s="102">
        <f t="shared" si="24"/>
        <v>4.8</v>
      </c>
      <c r="AN242" s="103">
        <f t="shared" si="25"/>
        <v>0.20453125</v>
      </c>
      <c r="AP242" s="104">
        <f t="shared" si="26"/>
        <v>4.8</v>
      </c>
      <c r="AQ242" s="105">
        <f t="shared" si="27"/>
        <v>0.68177083333333333</v>
      </c>
      <c r="AR242" s="97"/>
      <c r="BW242" s="77">
        <f t="shared" si="28"/>
        <v>0.20888297872340419</v>
      </c>
      <c r="BX242" s="77">
        <f t="shared" si="31"/>
        <v>0.6962765957446807</v>
      </c>
      <c r="BY242" s="76">
        <f t="shared" si="29"/>
        <v>1.7</v>
      </c>
      <c r="BZ242" s="76">
        <f t="shared" si="30"/>
        <v>0.40957446808510634</v>
      </c>
      <c r="CA242" s="78">
        <v>4.7</v>
      </c>
    </row>
    <row r="243" spans="39:79">
      <c r="AM243" s="102">
        <f t="shared" si="24"/>
        <v>4.82</v>
      </c>
      <c r="AN243" s="103">
        <f t="shared" si="25"/>
        <v>0.20368257261410785</v>
      </c>
      <c r="AP243" s="104">
        <f t="shared" si="26"/>
        <v>4.82</v>
      </c>
      <c r="AQ243" s="105">
        <f t="shared" si="27"/>
        <v>0.67894190871369287</v>
      </c>
      <c r="AR243" s="97"/>
      <c r="BW243" s="77">
        <f t="shared" si="28"/>
        <v>0.2079978813559322</v>
      </c>
      <c r="BX243" s="77">
        <f t="shared" si="31"/>
        <v>0.69332627118644063</v>
      </c>
      <c r="BY243" s="76">
        <f t="shared" si="29"/>
        <v>1.7</v>
      </c>
      <c r="BZ243" s="76">
        <f t="shared" si="30"/>
        <v>0.40783898305084743</v>
      </c>
      <c r="CA243" s="78">
        <v>4.72</v>
      </c>
    </row>
    <row r="244" spans="39:79">
      <c r="AM244" s="102">
        <f t="shared" si="24"/>
        <v>4.84</v>
      </c>
      <c r="AN244" s="103">
        <f t="shared" si="25"/>
        <v>0.20284090909090904</v>
      </c>
      <c r="AP244" s="104">
        <f t="shared" si="26"/>
        <v>4.84</v>
      </c>
      <c r="AQ244" s="105">
        <f t="shared" si="27"/>
        <v>0.67613636363636354</v>
      </c>
      <c r="AR244" s="97"/>
      <c r="BW244" s="77">
        <f t="shared" si="28"/>
        <v>0.20712025316455693</v>
      </c>
      <c r="BX244" s="77">
        <f t="shared" si="31"/>
        <v>0.69040084388185641</v>
      </c>
      <c r="BY244" s="76">
        <f t="shared" si="29"/>
        <v>1.7</v>
      </c>
      <c r="BZ244" s="76">
        <f t="shared" si="30"/>
        <v>0.40611814345991554</v>
      </c>
      <c r="CA244" s="78">
        <v>4.74</v>
      </c>
    </row>
    <row r="245" spans="39:79">
      <c r="AM245" s="102">
        <f t="shared" si="24"/>
        <v>4.8600000000000003</v>
      </c>
      <c r="AN245" s="103">
        <f t="shared" si="25"/>
        <v>0.20200617283950614</v>
      </c>
      <c r="AP245" s="104">
        <f t="shared" si="26"/>
        <v>4.8600000000000003</v>
      </c>
      <c r="AQ245" s="105">
        <f t="shared" si="27"/>
        <v>0.67335390946502049</v>
      </c>
      <c r="AR245" s="97"/>
      <c r="BW245" s="77">
        <f t="shared" si="28"/>
        <v>0.20624999999999999</v>
      </c>
      <c r="BX245" s="77">
        <f t="shared" si="31"/>
        <v>0.6875</v>
      </c>
      <c r="BY245" s="76">
        <f t="shared" si="29"/>
        <v>1.7</v>
      </c>
      <c r="BZ245" s="76">
        <f t="shared" si="30"/>
        <v>0.40441176470588236</v>
      </c>
      <c r="CA245" s="78">
        <v>4.76</v>
      </c>
    </row>
    <row r="246" spans="39:79">
      <c r="AM246" s="102">
        <f t="shared" si="24"/>
        <v>4.88</v>
      </c>
      <c r="AN246" s="103">
        <f t="shared" si="25"/>
        <v>0.20117827868852456</v>
      </c>
      <c r="AP246" s="104">
        <f t="shared" si="26"/>
        <v>4.88</v>
      </c>
      <c r="AQ246" s="105">
        <f t="shared" si="27"/>
        <v>0.6705942622950819</v>
      </c>
      <c r="AR246" s="97"/>
      <c r="BW246" s="77">
        <f t="shared" si="28"/>
        <v>0.20538702928870289</v>
      </c>
      <c r="BX246" s="77">
        <f t="shared" si="31"/>
        <v>0.68462343096234302</v>
      </c>
      <c r="BY246" s="76">
        <f t="shared" si="29"/>
        <v>1.7</v>
      </c>
      <c r="BZ246" s="76">
        <f t="shared" si="30"/>
        <v>0.40271966527196651</v>
      </c>
      <c r="CA246" s="78">
        <v>4.78</v>
      </c>
    </row>
    <row r="247" spans="39:79">
      <c r="AM247" s="102">
        <f t="shared" si="24"/>
        <v>4.9000000000000004</v>
      </c>
      <c r="AN247" s="103">
        <f t="shared" si="25"/>
        <v>0.20035714285714284</v>
      </c>
      <c r="AP247" s="104">
        <f t="shared" si="26"/>
        <v>4.9000000000000004</v>
      </c>
      <c r="AQ247" s="105">
        <f t="shared" si="27"/>
        <v>0.66785714285714282</v>
      </c>
      <c r="AR247" s="97"/>
      <c r="BW247" s="77">
        <f t="shared" si="28"/>
        <v>0.20453125</v>
      </c>
      <c r="BX247" s="77">
        <f t="shared" si="31"/>
        <v>0.68177083333333333</v>
      </c>
      <c r="BY247" s="76">
        <f t="shared" si="29"/>
        <v>1.7</v>
      </c>
      <c r="BZ247" s="76">
        <f t="shared" si="30"/>
        <v>0.40104166666666669</v>
      </c>
      <c r="CA247" s="78">
        <v>4.8</v>
      </c>
    </row>
    <row r="248" spans="39:79">
      <c r="AM248" s="102">
        <f t="shared" si="24"/>
        <v>4.92</v>
      </c>
      <c r="AN248" s="103">
        <f t="shared" si="25"/>
        <v>0.19954268292682922</v>
      </c>
      <c r="AP248" s="104">
        <f t="shared" si="26"/>
        <v>4.92</v>
      </c>
      <c r="AQ248" s="105">
        <f t="shared" si="27"/>
        <v>0.66514227642276413</v>
      </c>
      <c r="AR248" s="97"/>
      <c r="BW248" s="77">
        <f t="shared" si="28"/>
        <v>0.20368257261410785</v>
      </c>
      <c r="BX248" s="77">
        <f t="shared" si="31"/>
        <v>0.67894190871369287</v>
      </c>
      <c r="BY248" s="76">
        <f t="shared" si="29"/>
        <v>1.7</v>
      </c>
      <c r="BZ248" s="76">
        <f t="shared" si="30"/>
        <v>0.39937759336099582</v>
      </c>
      <c r="CA248" s="78">
        <v>4.82</v>
      </c>
    </row>
    <row r="249" spans="39:79">
      <c r="AM249" s="102">
        <f t="shared" si="24"/>
        <v>4.9400000000000004</v>
      </c>
      <c r="AN249" s="103">
        <f t="shared" si="25"/>
        <v>0.19873481781376512</v>
      </c>
      <c r="AP249" s="104">
        <f t="shared" si="26"/>
        <v>4.9400000000000004</v>
      </c>
      <c r="AQ249" s="105">
        <f t="shared" si="27"/>
        <v>0.66244939271255043</v>
      </c>
      <c r="AR249" s="97"/>
      <c r="BW249" s="77">
        <f t="shared" si="28"/>
        <v>0.20284090909090904</v>
      </c>
      <c r="BX249" s="77">
        <f t="shared" si="31"/>
        <v>0.67613636363636354</v>
      </c>
      <c r="BY249" s="76">
        <f t="shared" si="29"/>
        <v>1.7</v>
      </c>
      <c r="BZ249" s="76">
        <f t="shared" si="30"/>
        <v>0.39772727272727271</v>
      </c>
      <c r="CA249" s="78">
        <v>4.84</v>
      </c>
    </row>
    <row r="250" spans="39:79">
      <c r="AM250" s="102">
        <f t="shared" si="24"/>
        <v>4.96</v>
      </c>
      <c r="AN250" s="103">
        <f t="shared" si="25"/>
        <v>0.19793346774193546</v>
      </c>
      <c r="AP250" s="104">
        <f t="shared" si="26"/>
        <v>4.96</v>
      </c>
      <c r="AQ250" s="105">
        <f t="shared" si="27"/>
        <v>0.65977822580645151</v>
      </c>
      <c r="AR250" s="97"/>
      <c r="BW250" s="77">
        <f t="shared" si="28"/>
        <v>0.20200617283950614</v>
      </c>
      <c r="BX250" s="77">
        <f t="shared" si="31"/>
        <v>0.67335390946502049</v>
      </c>
      <c r="BY250" s="76">
        <f t="shared" si="29"/>
        <v>1.7</v>
      </c>
      <c r="BZ250" s="76">
        <f t="shared" si="30"/>
        <v>0.39609053497942381</v>
      </c>
      <c r="CA250" s="78">
        <v>4.8600000000000003</v>
      </c>
    </row>
    <row r="251" spans="39:79">
      <c r="AM251" s="102">
        <f t="shared" si="24"/>
        <v>4.9800000000000004</v>
      </c>
      <c r="AN251" s="103">
        <f t="shared" si="25"/>
        <v>0.19713855421686741</v>
      </c>
      <c r="AP251" s="104">
        <f t="shared" si="26"/>
        <v>4.9800000000000004</v>
      </c>
      <c r="AQ251" s="105">
        <f t="shared" si="27"/>
        <v>0.65712851405622474</v>
      </c>
      <c r="AR251" s="97"/>
      <c r="BW251" s="77">
        <f t="shared" si="28"/>
        <v>0.20117827868852456</v>
      </c>
      <c r="BX251" s="77">
        <f t="shared" si="31"/>
        <v>0.6705942622950819</v>
      </c>
      <c r="BY251" s="76">
        <f t="shared" si="29"/>
        <v>1.7</v>
      </c>
      <c r="BZ251" s="76">
        <f t="shared" si="30"/>
        <v>0.39446721311475408</v>
      </c>
      <c r="CA251" s="78">
        <v>4.88</v>
      </c>
    </row>
    <row r="252" spans="39:79">
      <c r="AM252" s="102">
        <f t="shared" si="24"/>
        <v>5</v>
      </c>
      <c r="AN252" s="103">
        <f t="shared" si="25"/>
        <v>0.19634999999999994</v>
      </c>
      <c r="AP252" s="104">
        <f t="shared" si="26"/>
        <v>5</v>
      </c>
      <c r="AQ252" s="105">
        <f t="shared" si="27"/>
        <v>0.65449999999999986</v>
      </c>
      <c r="AR252" s="97"/>
      <c r="BW252" s="77">
        <f t="shared" si="28"/>
        <v>0.20035714285714284</v>
      </c>
      <c r="BX252" s="77">
        <f t="shared" si="31"/>
        <v>0.66785714285714282</v>
      </c>
      <c r="BY252" s="76">
        <f t="shared" si="29"/>
        <v>1.7</v>
      </c>
      <c r="BZ252" s="76">
        <f t="shared" si="30"/>
        <v>0.39285714285714285</v>
      </c>
      <c r="CA252" s="78">
        <v>4.9000000000000004</v>
      </c>
    </row>
    <row r="253" spans="39:79">
      <c r="AM253" s="102">
        <f t="shared" si="24"/>
        <v>5.0199999999999996</v>
      </c>
      <c r="AN253" s="103">
        <f t="shared" si="25"/>
        <v>0.19556772908366535</v>
      </c>
      <c r="AP253" s="104">
        <f t="shared" si="26"/>
        <v>5.0199999999999996</v>
      </c>
      <c r="AQ253" s="105">
        <f t="shared" si="27"/>
        <v>0.65189243027888455</v>
      </c>
      <c r="AR253" s="97"/>
      <c r="BW253" s="77">
        <f t="shared" si="28"/>
        <v>0.19954268292682922</v>
      </c>
      <c r="BX253" s="77">
        <f t="shared" si="31"/>
        <v>0.66514227642276413</v>
      </c>
      <c r="BY253" s="76">
        <f t="shared" si="29"/>
        <v>1.7</v>
      </c>
      <c r="BZ253" s="76">
        <f t="shared" si="30"/>
        <v>0.39126016260162599</v>
      </c>
      <c r="CA253" s="78">
        <v>4.92</v>
      </c>
    </row>
    <row r="254" spans="39:79">
      <c r="AM254" s="102">
        <f t="shared" si="24"/>
        <v>5.04</v>
      </c>
      <c r="AN254" s="103">
        <f t="shared" si="25"/>
        <v>0.19479166666666661</v>
      </c>
      <c r="AP254" s="104">
        <f t="shared" si="26"/>
        <v>5.04</v>
      </c>
      <c r="AQ254" s="105">
        <f t="shared" si="27"/>
        <v>0.64930555555555536</v>
      </c>
      <c r="AR254" s="97"/>
      <c r="BW254" s="77">
        <f t="shared" si="28"/>
        <v>0.19873481781376512</v>
      </c>
      <c r="BX254" s="77">
        <f t="shared" si="31"/>
        <v>0.66244939271255043</v>
      </c>
      <c r="BY254" s="76">
        <f t="shared" si="29"/>
        <v>1.7</v>
      </c>
      <c r="BZ254" s="76">
        <f t="shared" si="30"/>
        <v>0.38967611336032382</v>
      </c>
      <c r="CA254" s="78">
        <v>4.9400000000000004</v>
      </c>
    </row>
    <row r="255" spans="39:79">
      <c r="AM255" s="102">
        <f t="shared" si="24"/>
        <v>5.0599999999999996</v>
      </c>
      <c r="AN255" s="103">
        <f t="shared" si="25"/>
        <v>0.19402173913043477</v>
      </c>
      <c r="AP255" s="104">
        <f t="shared" si="26"/>
        <v>5.0599999999999996</v>
      </c>
      <c r="AQ255" s="105">
        <f t="shared" si="27"/>
        <v>0.64673913043478259</v>
      </c>
      <c r="AR255" s="97"/>
      <c r="BW255" s="77">
        <f t="shared" si="28"/>
        <v>0.19793346774193546</v>
      </c>
      <c r="BX255" s="77">
        <f t="shared" si="31"/>
        <v>0.65977822580645151</v>
      </c>
      <c r="BY255" s="76">
        <f t="shared" si="29"/>
        <v>1.7</v>
      </c>
      <c r="BZ255" s="76">
        <f t="shared" si="30"/>
        <v>0.38810483870967738</v>
      </c>
      <c r="CA255" s="78">
        <v>4.96</v>
      </c>
    </row>
    <row r="256" spans="39:79">
      <c r="AM256" s="102">
        <f t="shared" si="24"/>
        <v>5.08</v>
      </c>
      <c r="AN256" s="103">
        <f t="shared" si="25"/>
        <v>0.19325787401574798</v>
      </c>
      <c r="AP256" s="104">
        <f t="shared" si="26"/>
        <v>5.08</v>
      </c>
      <c r="AQ256" s="105">
        <f t="shared" si="27"/>
        <v>0.64419291338582663</v>
      </c>
      <c r="AR256" s="97"/>
      <c r="BW256" s="77">
        <f t="shared" si="28"/>
        <v>0.19713855421686741</v>
      </c>
      <c r="BX256" s="77">
        <f t="shared" si="31"/>
        <v>0.65712851405622474</v>
      </c>
      <c r="BY256" s="76">
        <f t="shared" si="29"/>
        <v>1.7</v>
      </c>
      <c r="BZ256" s="76">
        <f t="shared" si="30"/>
        <v>0.38654618473895574</v>
      </c>
      <c r="CA256" s="78">
        <v>4.9800000000000004</v>
      </c>
    </row>
    <row r="257" spans="39:79">
      <c r="AM257" s="102">
        <f t="shared" si="24"/>
        <v>5.0999999999999996</v>
      </c>
      <c r="AN257" s="103">
        <f t="shared" si="25"/>
        <v>0.1925</v>
      </c>
      <c r="AP257" s="104">
        <f t="shared" si="26"/>
        <v>5.0999999999999996</v>
      </c>
      <c r="AQ257" s="105">
        <f t="shared" si="27"/>
        <v>0.64166666666666672</v>
      </c>
      <c r="AR257" s="97"/>
      <c r="BW257" s="77">
        <f t="shared" si="28"/>
        <v>0.19634999999999994</v>
      </c>
      <c r="BX257" s="77">
        <f t="shared" si="31"/>
        <v>0.65449999999999986</v>
      </c>
      <c r="BY257" s="76">
        <f t="shared" si="29"/>
        <v>1.7</v>
      </c>
      <c r="BZ257" s="76">
        <f t="shared" si="30"/>
        <v>0.38499999999999995</v>
      </c>
      <c r="CA257" s="78">
        <v>5</v>
      </c>
    </row>
    <row r="258" spans="39:79">
      <c r="AM258" s="102">
        <f t="shared" ref="AM258:AM302" si="32">CA263</f>
        <v>5.12</v>
      </c>
      <c r="AN258" s="103">
        <f t="shared" ref="AN258:AN302" si="33">BW263</f>
        <v>0.19174804687499999</v>
      </c>
      <c r="AP258" s="104">
        <f t="shared" ref="AP258:AP302" si="34">CA263</f>
        <v>5.12</v>
      </c>
      <c r="AQ258" s="105">
        <f t="shared" ref="AQ258:AQ302" si="35">BX263</f>
        <v>0.63916015625</v>
      </c>
      <c r="AR258" s="97"/>
      <c r="BW258" s="77">
        <f t="shared" si="28"/>
        <v>0.19556772908366535</v>
      </c>
      <c r="BX258" s="77">
        <f t="shared" si="31"/>
        <v>0.65189243027888455</v>
      </c>
      <c r="BY258" s="76">
        <f t="shared" si="29"/>
        <v>1.7</v>
      </c>
      <c r="BZ258" s="76">
        <f t="shared" si="30"/>
        <v>0.38346613545816738</v>
      </c>
      <c r="CA258" s="78">
        <v>5.0199999999999996</v>
      </c>
    </row>
    <row r="259" spans="39:79">
      <c r="AM259" s="102">
        <f t="shared" si="32"/>
        <v>5.14</v>
      </c>
      <c r="AN259" s="103">
        <f t="shared" si="33"/>
        <v>0.19100194552529179</v>
      </c>
      <c r="AP259" s="104">
        <f t="shared" si="34"/>
        <v>5.14</v>
      </c>
      <c r="AQ259" s="105">
        <f t="shared" si="35"/>
        <v>0.63667315175097261</v>
      </c>
      <c r="AR259" s="97"/>
      <c r="BW259" s="77">
        <f t="shared" si="28"/>
        <v>0.19479166666666661</v>
      </c>
      <c r="BX259" s="77">
        <f t="shared" si="31"/>
        <v>0.64930555555555536</v>
      </c>
      <c r="BY259" s="76">
        <f t="shared" si="29"/>
        <v>1.7</v>
      </c>
      <c r="BZ259" s="76">
        <f t="shared" si="30"/>
        <v>0.38194444444444436</v>
      </c>
      <c r="CA259" s="78">
        <v>5.04</v>
      </c>
    </row>
    <row r="260" spans="39:79">
      <c r="AM260" s="102">
        <f t="shared" si="32"/>
        <v>5.16</v>
      </c>
      <c r="AN260" s="103">
        <f t="shared" si="33"/>
        <v>0.19026162790697673</v>
      </c>
      <c r="AP260" s="104">
        <f t="shared" si="34"/>
        <v>5.16</v>
      </c>
      <c r="AQ260" s="105">
        <f t="shared" si="35"/>
        <v>0.63420542635658916</v>
      </c>
      <c r="AR260" s="97"/>
      <c r="BW260" s="77">
        <f t="shared" si="28"/>
        <v>0.19402173913043477</v>
      </c>
      <c r="BX260" s="77">
        <f t="shared" si="31"/>
        <v>0.64673913043478259</v>
      </c>
      <c r="BY260" s="76">
        <f t="shared" si="29"/>
        <v>1.7</v>
      </c>
      <c r="BZ260" s="76">
        <f t="shared" si="30"/>
        <v>0.38043478260869568</v>
      </c>
      <c r="CA260" s="78">
        <v>5.0599999999999996</v>
      </c>
    </row>
    <row r="261" spans="39:79">
      <c r="AM261" s="102">
        <f t="shared" si="32"/>
        <v>5.18</v>
      </c>
      <c r="AN261" s="103">
        <f t="shared" si="33"/>
        <v>0.18952702702702703</v>
      </c>
      <c r="AP261" s="104">
        <f t="shared" si="34"/>
        <v>5.18</v>
      </c>
      <c r="AQ261" s="105">
        <f t="shared" si="35"/>
        <v>0.6317567567567568</v>
      </c>
      <c r="AR261" s="97"/>
      <c r="BW261" s="77">
        <f t="shared" si="28"/>
        <v>0.19325787401574798</v>
      </c>
      <c r="BX261" s="77">
        <f t="shared" si="31"/>
        <v>0.64419291338582663</v>
      </c>
      <c r="BY261" s="76">
        <f t="shared" si="29"/>
        <v>1.7</v>
      </c>
      <c r="BZ261" s="76">
        <f t="shared" si="30"/>
        <v>0.37893700787401569</v>
      </c>
      <c r="CA261" s="78">
        <v>5.08</v>
      </c>
    </row>
    <row r="262" spans="39:79">
      <c r="AM262" s="102">
        <f t="shared" si="32"/>
        <v>5.2</v>
      </c>
      <c r="AN262" s="103">
        <f t="shared" si="33"/>
        <v>0.18879807692307687</v>
      </c>
      <c r="AP262" s="104">
        <f t="shared" si="34"/>
        <v>5.2</v>
      </c>
      <c r="AQ262" s="105">
        <f t="shared" si="35"/>
        <v>0.62932692307692295</v>
      </c>
      <c r="AR262" s="97"/>
      <c r="BW262" s="77">
        <f t="shared" si="28"/>
        <v>0.1925</v>
      </c>
      <c r="BX262" s="77">
        <f t="shared" si="31"/>
        <v>0.64166666666666672</v>
      </c>
      <c r="BY262" s="76">
        <f t="shared" si="29"/>
        <v>1.7</v>
      </c>
      <c r="BZ262" s="76">
        <f t="shared" si="30"/>
        <v>0.37745098039215691</v>
      </c>
      <c r="CA262" s="78">
        <v>5.0999999999999996</v>
      </c>
    </row>
    <row r="263" spans="39:79">
      <c r="AM263" s="102">
        <f t="shared" si="32"/>
        <v>5.22</v>
      </c>
      <c r="AN263" s="103">
        <f t="shared" si="33"/>
        <v>0.18807471264367817</v>
      </c>
      <c r="AP263" s="104">
        <f t="shared" si="34"/>
        <v>5.22</v>
      </c>
      <c r="AQ263" s="105">
        <f t="shared" si="35"/>
        <v>0.62691570881226055</v>
      </c>
      <c r="AR263" s="97"/>
      <c r="BW263" s="77">
        <f t="shared" ref="BW263:BW307" si="36">C$18*BX263</f>
        <v>0.19174804687499999</v>
      </c>
      <c r="BX263" s="77">
        <f t="shared" si="31"/>
        <v>0.63916015625</v>
      </c>
      <c r="BY263" s="76">
        <f t="shared" ref="BY263:BY307" si="37">IF(AND(OR(T$16=BD$6,T$16=BD$7),OR(CA263&lt;_xlfn.NUMBERVALUE(V$20),CA263=_xlfn.NUMBERVALUE(V$20))),1,IF(AND(OR(T$16=BD$6,T$16=BD$7),CA263&gt;_xlfn.NUMBERVALUE(V$20),CA263&lt;4),((0.7*(CA263-V$20)/(4-V$20))+1),IF(AND(OR(T$16=BD$6,T$16=BD$7),OR(CA263&gt;4,CA263=4)),1.7,IF(AND(OR(T$16=BD$8,T$16=BD$9),OR(CA263&lt;_xlfn.NUMBERVALUE(V$20),CA263=_xlfn.NUMBERVALUE(V$20))),1,IF(AND(OR(T$16=BD$8,T$16=BD$9),CA263&gt;_xlfn.NUMBERVALUE(V$20),CA263&lt;4),((0.4*(CA263-V$20)/(4-V$20))+1),IF(AND(OR(T$16=BD$8,T$16=BD$9),OR(CA263&gt;4,CA263=4)),1.4,"Error"))))))</f>
        <v>1.7</v>
      </c>
      <c r="BZ263" s="76">
        <f t="shared" ref="BZ263:BZ307" si="38">IF(OR(CA263&lt;_xlfn.NUMBERVALUE(AH$20),CA263=_xlfn.NUMBERVALUE(AH$20)),(C$20+((K$20-C$20+1)*(CA263/AH$20))),IF(AND(CA263&gt;_xlfn.NUMBERVALUE(AH$20),CA263&lt;_xlfn.NUMBERVALUE(V$20)),(K$20+1),IF(OR(CA263&gt;_xlfn.NUMBERVALUE(V$20),CA263=_xlfn.NUMBERVALUE(V$20)),((K$20+1)*(V$20/CA263)),"Errot")))</f>
        <v>0.3759765625</v>
      </c>
      <c r="CA263" s="78">
        <v>5.12</v>
      </c>
    </row>
    <row r="264" spans="39:79">
      <c r="AM264" s="102">
        <f t="shared" si="32"/>
        <v>5.24</v>
      </c>
      <c r="AN264" s="103">
        <f t="shared" si="33"/>
        <v>0.1873568702290076</v>
      </c>
      <c r="AP264" s="104">
        <f t="shared" si="34"/>
        <v>5.24</v>
      </c>
      <c r="AQ264" s="105">
        <f t="shared" si="35"/>
        <v>0.6245229007633587</v>
      </c>
      <c r="AR264" s="97"/>
      <c r="BW264" s="77">
        <f t="shared" si="36"/>
        <v>0.19100194552529179</v>
      </c>
      <c r="BX264" s="77">
        <f t="shared" ref="BX264:BX307" si="39">BZ264*BY264</f>
        <v>0.63667315175097261</v>
      </c>
      <c r="BY264" s="76">
        <f t="shared" si="37"/>
        <v>1.7</v>
      </c>
      <c r="BZ264" s="76">
        <f t="shared" si="38"/>
        <v>0.37451361867704275</v>
      </c>
      <c r="CA264" s="78">
        <v>5.14</v>
      </c>
    </row>
    <row r="265" spans="39:79">
      <c r="AM265" s="102">
        <f t="shared" si="32"/>
        <v>5.26</v>
      </c>
      <c r="AN265" s="103">
        <f t="shared" si="33"/>
        <v>0.18664448669201519</v>
      </c>
      <c r="AP265" s="104">
        <f t="shared" si="34"/>
        <v>5.26</v>
      </c>
      <c r="AQ265" s="105">
        <f t="shared" si="35"/>
        <v>0.62214828897338403</v>
      </c>
      <c r="AR265" s="97"/>
      <c r="BW265" s="77">
        <f t="shared" si="36"/>
        <v>0.19026162790697673</v>
      </c>
      <c r="BX265" s="77">
        <f t="shared" si="39"/>
        <v>0.63420542635658916</v>
      </c>
      <c r="BY265" s="76">
        <f t="shared" si="37"/>
        <v>1.7</v>
      </c>
      <c r="BZ265" s="76">
        <f t="shared" si="38"/>
        <v>0.37306201550387597</v>
      </c>
      <c r="CA265" s="78">
        <v>5.16</v>
      </c>
    </row>
    <row r="266" spans="39:79">
      <c r="AM266" s="102">
        <f t="shared" si="32"/>
        <v>5.28</v>
      </c>
      <c r="AN266" s="103">
        <f t="shared" si="33"/>
        <v>0.18593749999999998</v>
      </c>
      <c r="AP266" s="104">
        <f t="shared" si="34"/>
        <v>5.28</v>
      </c>
      <c r="AQ266" s="105">
        <f t="shared" si="35"/>
        <v>0.61979166666666663</v>
      </c>
      <c r="AR266" s="97"/>
      <c r="BW266" s="77">
        <f t="shared" si="36"/>
        <v>0.18952702702702703</v>
      </c>
      <c r="BX266" s="77">
        <f t="shared" si="39"/>
        <v>0.6317567567567568</v>
      </c>
      <c r="BY266" s="76">
        <f t="shared" si="37"/>
        <v>1.7</v>
      </c>
      <c r="BZ266" s="76">
        <f t="shared" si="38"/>
        <v>0.37162162162162166</v>
      </c>
      <c r="CA266" s="78">
        <v>5.18</v>
      </c>
    </row>
    <row r="267" spans="39:79">
      <c r="AM267" s="102">
        <f t="shared" si="32"/>
        <v>5.3</v>
      </c>
      <c r="AN267" s="103">
        <f t="shared" si="33"/>
        <v>0.18523584905660373</v>
      </c>
      <c r="AP267" s="104">
        <f t="shared" si="34"/>
        <v>5.3</v>
      </c>
      <c r="AQ267" s="105">
        <f t="shared" si="35"/>
        <v>0.61745283018867914</v>
      </c>
      <c r="AR267" s="97"/>
      <c r="BW267" s="77">
        <f t="shared" si="36"/>
        <v>0.18879807692307687</v>
      </c>
      <c r="BX267" s="77">
        <f t="shared" si="39"/>
        <v>0.62932692307692295</v>
      </c>
      <c r="BY267" s="76">
        <f t="shared" si="37"/>
        <v>1.7</v>
      </c>
      <c r="BZ267" s="76">
        <f t="shared" si="38"/>
        <v>0.37019230769230765</v>
      </c>
      <c r="CA267" s="78">
        <v>5.2</v>
      </c>
    </row>
    <row r="268" spans="39:79">
      <c r="AM268" s="102">
        <f t="shared" si="32"/>
        <v>5.3199999999999896</v>
      </c>
      <c r="AN268" s="103">
        <f t="shared" si="33"/>
        <v>0.18453947368421086</v>
      </c>
      <c r="AP268" s="104">
        <f t="shared" si="34"/>
        <v>5.3199999999999896</v>
      </c>
      <c r="AQ268" s="105">
        <f t="shared" si="35"/>
        <v>0.61513157894736958</v>
      </c>
      <c r="AR268" s="97"/>
      <c r="BW268" s="77">
        <f t="shared" si="36"/>
        <v>0.18807471264367817</v>
      </c>
      <c r="BX268" s="77">
        <f t="shared" si="39"/>
        <v>0.62691570881226055</v>
      </c>
      <c r="BY268" s="76">
        <f t="shared" si="37"/>
        <v>1.7</v>
      </c>
      <c r="BZ268" s="76">
        <f t="shared" si="38"/>
        <v>0.36877394636015326</v>
      </c>
      <c r="CA268" s="78">
        <v>5.22</v>
      </c>
    </row>
    <row r="269" spans="39:79">
      <c r="AM269" s="102">
        <f t="shared" si="32"/>
        <v>5.3399999999999901</v>
      </c>
      <c r="AN269" s="103">
        <f t="shared" si="33"/>
        <v>0.18384831460674192</v>
      </c>
      <c r="AP269" s="104">
        <f t="shared" si="34"/>
        <v>5.3399999999999901</v>
      </c>
      <c r="AQ269" s="105">
        <f t="shared" si="35"/>
        <v>0.61282771535580638</v>
      </c>
      <c r="AR269" s="97"/>
      <c r="BW269" s="77">
        <f t="shared" si="36"/>
        <v>0.1873568702290076</v>
      </c>
      <c r="BX269" s="77">
        <f t="shared" si="39"/>
        <v>0.6245229007633587</v>
      </c>
      <c r="BY269" s="76">
        <f t="shared" si="37"/>
        <v>1.7</v>
      </c>
      <c r="BZ269" s="76">
        <f t="shared" si="38"/>
        <v>0.36736641221374039</v>
      </c>
      <c r="CA269" s="78">
        <v>5.24</v>
      </c>
    </row>
    <row r="270" spans="39:79">
      <c r="AM270" s="102">
        <f t="shared" si="32"/>
        <v>5.3599999999999897</v>
      </c>
      <c r="AN270" s="103">
        <f t="shared" si="33"/>
        <v>0.18316231343283615</v>
      </c>
      <c r="AP270" s="104">
        <f t="shared" si="34"/>
        <v>5.3599999999999897</v>
      </c>
      <c r="AQ270" s="105">
        <f t="shared" si="35"/>
        <v>0.61054104477612048</v>
      </c>
      <c r="AR270" s="97"/>
      <c r="BW270" s="77">
        <f t="shared" si="36"/>
        <v>0.18664448669201519</v>
      </c>
      <c r="BX270" s="77">
        <f t="shared" si="39"/>
        <v>0.62214828897338403</v>
      </c>
      <c r="BY270" s="76">
        <f t="shared" si="37"/>
        <v>1.7</v>
      </c>
      <c r="BZ270" s="76">
        <f t="shared" si="38"/>
        <v>0.36596958174904942</v>
      </c>
      <c r="CA270" s="78">
        <v>5.26</v>
      </c>
    </row>
    <row r="271" spans="39:79">
      <c r="AM271" s="102">
        <f t="shared" si="32"/>
        <v>5.3799999999999901</v>
      </c>
      <c r="AN271" s="103">
        <f t="shared" si="33"/>
        <v>0.18248141263940551</v>
      </c>
      <c r="AP271" s="104">
        <f t="shared" si="34"/>
        <v>5.3799999999999901</v>
      </c>
      <c r="AQ271" s="105">
        <f t="shared" si="35"/>
        <v>0.60827137546468502</v>
      </c>
      <c r="AR271" s="97"/>
      <c r="BW271" s="77">
        <f t="shared" si="36"/>
        <v>0.18593749999999998</v>
      </c>
      <c r="BX271" s="77">
        <f t="shared" si="39"/>
        <v>0.61979166666666663</v>
      </c>
      <c r="BY271" s="76">
        <f t="shared" si="37"/>
        <v>1.7</v>
      </c>
      <c r="BZ271" s="76">
        <f t="shared" si="38"/>
        <v>0.36458333333333331</v>
      </c>
      <c r="CA271" s="78">
        <v>5.28</v>
      </c>
    </row>
    <row r="272" spans="39:79">
      <c r="AM272" s="102">
        <f t="shared" si="32"/>
        <v>5.3999999999999897</v>
      </c>
      <c r="AN272" s="103">
        <f t="shared" si="33"/>
        <v>0.18180555555555591</v>
      </c>
      <c r="AP272" s="104">
        <f t="shared" si="34"/>
        <v>5.3999999999999897</v>
      </c>
      <c r="AQ272" s="105">
        <f t="shared" si="35"/>
        <v>0.60601851851851973</v>
      </c>
      <c r="AR272" s="97"/>
      <c r="BW272" s="77">
        <f t="shared" si="36"/>
        <v>0.18523584905660373</v>
      </c>
      <c r="BX272" s="77">
        <f t="shared" si="39"/>
        <v>0.61745283018867914</v>
      </c>
      <c r="BY272" s="76">
        <f t="shared" si="37"/>
        <v>1.7</v>
      </c>
      <c r="BZ272" s="76">
        <f t="shared" si="38"/>
        <v>0.3632075471698113</v>
      </c>
      <c r="CA272" s="78">
        <v>5.3</v>
      </c>
    </row>
    <row r="273" spans="39:79">
      <c r="AM273" s="102">
        <f t="shared" si="32"/>
        <v>5.4199999999999902</v>
      </c>
      <c r="AN273" s="103">
        <f t="shared" si="33"/>
        <v>0.18113468634686378</v>
      </c>
      <c r="AP273" s="104">
        <f t="shared" si="34"/>
        <v>5.4199999999999902</v>
      </c>
      <c r="AQ273" s="105">
        <f t="shared" si="35"/>
        <v>0.60378228782287924</v>
      </c>
      <c r="AR273" s="97"/>
      <c r="BW273" s="77">
        <f t="shared" si="36"/>
        <v>0.18453947368421086</v>
      </c>
      <c r="BX273" s="77">
        <f t="shared" si="39"/>
        <v>0.61513157894736958</v>
      </c>
      <c r="BY273" s="76">
        <f t="shared" si="37"/>
        <v>1.7</v>
      </c>
      <c r="BZ273" s="76">
        <f t="shared" si="38"/>
        <v>0.36184210526315858</v>
      </c>
      <c r="CA273" s="78">
        <v>5.3199999999999896</v>
      </c>
    </row>
    <row r="274" spans="39:79">
      <c r="AM274" s="102">
        <f t="shared" si="32"/>
        <v>5.4399999999999897</v>
      </c>
      <c r="AN274" s="103">
        <f t="shared" si="33"/>
        <v>0.18046875000000032</v>
      </c>
      <c r="AP274" s="104">
        <f t="shared" si="34"/>
        <v>5.4399999999999897</v>
      </c>
      <c r="AQ274" s="105">
        <f t="shared" si="35"/>
        <v>0.60156250000000111</v>
      </c>
      <c r="AR274" s="97"/>
      <c r="BW274" s="77">
        <f t="shared" si="36"/>
        <v>0.18384831460674192</v>
      </c>
      <c r="BX274" s="77">
        <f t="shared" si="39"/>
        <v>0.61282771535580638</v>
      </c>
      <c r="BY274" s="76">
        <f t="shared" si="37"/>
        <v>1.7</v>
      </c>
      <c r="BZ274" s="76">
        <f t="shared" si="38"/>
        <v>0.36048689138576845</v>
      </c>
      <c r="CA274" s="78">
        <v>5.3399999999999901</v>
      </c>
    </row>
    <row r="275" spans="39:79">
      <c r="AM275" s="102">
        <f t="shared" si="32"/>
        <v>5.4599999999999902</v>
      </c>
      <c r="AN275" s="103">
        <f t="shared" si="33"/>
        <v>0.17980769230769258</v>
      </c>
      <c r="AP275" s="104">
        <f t="shared" si="34"/>
        <v>5.4599999999999902</v>
      </c>
      <c r="AQ275" s="105">
        <f t="shared" si="35"/>
        <v>0.59935897435897534</v>
      </c>
      <c r="AR275" s="97"/>
      <c r="BW275" s="77">
        <f t="shared" si="36"/>
        <v>0.18316231343283615</v>
      </c>
      <c r="BX275" s="77">
        <f t="shared" si="39"/>
        <v>0.61054104477612048</v>
      </c>
      <c r="BY275" s="76">
        <f t="shared" si="37"/>
        <v>1.7</v>
      </c>
      <c r="BZ275" s="76">
        <f t="shared" si="38"/>
        <v>0.35914179104477678</v>
      </c>
      <c r="CA275" s="78">
        <v>5.3599999999999897</v>
      </c>
    </row>
    <row r="276" spans="39:79">
      <c r="AM276" s="102">
        <f t="shared" si="32"/>
        <v>5.4799999999999898</v>
      </c>
      <c r="AN276" s="103">
        <f t="shared" si="33"/>
        <v>0.1791514598540149</v>
      </c>
      <c r="AP276" s="104">
        <f t="shared" si="34"/>
        <v>5.4799999999999898</v>
      </c>
      <c r="AQ276" s="105">
        <f t="shared" si="35"/>
        <v>0.59717153284671631</v>
      </c>
      <c r="AR276" s="97"/>
      <c r="BW276" s="77">
        <f t="shared" si="36"/>
        <v>0.18248141263940551</v>
      </c>
      <c r="BX276" s="77">
        <f t="shared" si="39"/>
        <v>0.60827137546468502</v>
      </c>
      <c r="BY276" s="76">
        <f t="shared" si="37"/>
        <v>1.7</v>
      </c>
      <c r="BZ276" s="76">
        <f t="shared" si="38"/>
        <v>0.35780669144981475</v>
      </c>
      <c r="CA276" s="78">
        <v>5.3799999999999901</v>
      </c>
    </row>
    <row r="277" spans="39:79">
      <c r="AM277" s="102">
        <f t="shared" si="32"/>
        <v>5.4999999999999902</v>
      </c>
      <c r="AN277" s="103">
        <f t="shared" si="33"/>
        <v>0.1785000000000003</v>
      </c>
      <c r="AP277" s="104">
        <f t="shared" si="34"/>
        <v>5.4999999999999902</v>
      </c>
      <c r="AQ277" s="105">
        <f t="shared" si="35"/>
        <v>0.59500000000000097</v>
      </c>
      <c r="AR277" s="97"/>
      <c r="BW277" s="77">
        <f t="shared" si="36"/>
        <v>0.18180555555555591</v>
      </c>
      <c r="BX277" s="77">
        <f t="shared" si="39"/>
        <v>0.60601851851851973</v>
      </c>
      <c r="BY277" s="76">
        <f t="shared" si="37"/>
        <v>1.7</v>
      </c>
      <c r="BZ277" s="76">
        <f t="shared" si="38"/>
        <v>0.35648148148148218</v>
      </c>
      <c r="CA277" s="78">
        <v>5.3999999999999897</v>
      </c>
    </row>
    <row r="278" spans="39:79">
      <c r="AM278" s="102">
        <f t="shared" si="32"/>
        <v>5.5199999999999898</v>
      </c>
      <c r="AN278" s="103">
        <f t="shared" si="33"/>
        <v>0.17785326086956552</v>
      </c>
      <c r="AP278" s="104">
        <f t="shared" si="34"/>
        <v>5.5199999999999898</v>
      </c>
      <c r="AQ278" s="105">
        <f t="shared" si="35"/>
        <v>0.59284420289855178</v>
      </c>
      <c r="AR278" s="97"/>
      <c r="BW278" s="77">
        <f t="shared" si="36"/>
        <v>0.18113468634686378</v>
      </c>
      <c r="BX278" s="77">
        <f t="shared" si="39"/>
        <v>0.60378228782287924</v>
      </c>
      <c r="BY278" s="76">
        <f t="shared" si="37"/>
        <v>1.7</v>
      </c>
      <c r="BZ278" s="76">
        <f t="shared" si="38"/>
        <v>0.35516605166051723</v>
      </c>
      <c r="CA278" s="78">
        <v>5.4199999999999902</v>
      </c>
    </row>
    <row r="279" spans="39:79">
      <c r="AM279" s="102">
        <f t="shared" si="32"/>
        <v>5.5399999999999903</v>
      </c>
      <c r="AN279" s="103">
        <f t="shared" si="33"/>
        <v>0.1772111913357404</v>
      </c>
      <c r="AP279" s="104">
        <f t="shared" si="34"/>
        <v>5.5399999999999903</v>
      </c>
      <c r="AQ279" s="105">
        <f t="shared" si="35"/>
        <v>0.59070397111913464</v>
      </c>
      <c r="AR279" s="97"/>
      <c r="BW279" s="77">
        <f t="shared" si="36"/>
        <v>0.18046875000000032</v>
      </c>
      <c r="BX279" s="77">
        <f t="shared" si="39"/>
        <v>0.60156250000000111</v>
      </c>
      <c r="BY279" s="76">
        <f t="shared" si="37"/>
        <v>1.7</v>
      </c>
      <c r="BZ279" s="76">
        <f t="shared" si="38"/>
        <v>0.35386029411764769</v>
      </c>
      <c r="CA279" s="78">
        <v>5.4399999999999897</v>
      </c>
    </row>
    <row r="280" spans="39:79">
      <c r="AM280" s="102">
        <f t="shared" si="32"/>
        <v>5.5599999999999898</v>
      </c>
      <c r="AN280" s="103">
        <f t="shared" si="33"/>
        <v>0.17657374100719456</v>
      </c>
      <c r="AP280" s="104">
        <f t="shared" si="34"/>
        <v>5.5599999999999898</v>
      </c>
      <c r="AQ280" s="105">
        <f t="shared" si="35"/>
        <v>0.58857913669064854</v>
      </c>
      <c r="AR280" s="97"/>
      <c r="BW280" s="77">
        <f t="shared" si="36"/>
        <v>0.17980769230769258</v>
      </c>
      <c r="BX280" s="77">
        <f t="shared" si="39"/>
        <v>0.59935897435897534</v>
      </c>
      <c r="BY280" s="76">
        <f t="shared" si="37"/>
        <v>1.7</v>
      </c>
      <c r="BZ280" s="76">
        <f t="shared" si="38"/>
        <v>0.35256410256410314</v>
      </c>
      <c r="CA280" s="78">
        <v>5.4599999999999902</v>
      </c>
    </row>
    <row r="281" spans="39:79">
      <c r="AM281" s="102">
        <f t="shared" si="32"/>
        <v>5.5799999999999903</v>
      </c>
      <c r="AN281" s="103">
        <f t="shared" si="33"/>
        <v>0.17594086021505406</v>
      </c>
      <c r="AP281" s="104">
        <f t="shared" si="34"/>
        <v>5.5799999999999903</v>
      </c>
      <c r="AQ281" s="105">
        <f t="shared" si="35"/>
        <v>0.58646953405018021</v>
      </c>
      <c r="AR281" s="97"/>
      <c r="BW281" s="77">
        <f t="shared" si="36"/>
        <v>0.1791514598540149</v>
      </c>
      <c r="BX281" s="77">
        <f t="shared" si="39"/>
        <v>0.59717153284671631</v>
      </c>
      <c r="BY281" s="76">
        <f t="shared" si="37"/>
        <v>1.7</v>
      </c>
      <c r="BZ281" s="76">
        <f t="shared" si="38"/>
        <v>0.35127737226277433</v>
      </c>
      <c r="CA281" s="78">
        <v>5.4799999999999898</v>
      </c>
    </row>
    <row r="282" spans="39:79">
      <c r="AM282" s="102">
        <f t="shared" si="32"/>
        <v>5.5999999999999899</v>
      </c>
      <c r="AN282" s="103">
        <f t="shared" si="33"/>
        <v>0.17531250000000029</v>
      </c>
      <c r="AP282" s="104">
        <f t="shared" si="34"/>
        <v>5.5999999999999899</v>
      </c>
      <c r="AQ282" s="105">
        <f t="shared" si="35"/>
        <v>0.58437500000000098</v>
      </c>
      <c r="AR282" s="97"/>
      <c r="BW282" s="77">
        <f t="shared" si="36"/>
        <v>0.1785000000000003</v>
      </c>
      <c r="BX282" s="77">
        <f t="shared" si="39"/>
        <v>0.59500000000000097</v>
      </c>
      <c r="BY282" s="76">
        <f t="shared" si="37"/>
        <v>1.7</v>
      </c>
      <c r="BZ282" s="76">
        <f t="shared" si="38"/>
        <v>0.35000000000000059</v>
      </c>
      <c r="CA282" s="78">
        <v>5.4999999999999902</v>
      </c>
    </row>
    <row r="283" spans="39:79">
      <c r="AM283" s="102">
        <f t="shared" si="32"/>
        <v>5.6199999999999903</v>
      </c>
      <c r="AN283" s="103">
        <f t="shared" si="33"/>
        <v>0.17468861209964442</v>
      </c>
      <c r="AP283" s="104">
        <f t="shared" si="34"/>
        <v>5.6199999999999903</v>
      </c>
      <c r="AQ283" s="105">
        <f t="shared" si="35"/>
        <v>0.58229537366548145</v>
      </c>
      <c r="AR283" s="97"/>
      <c r="BW283" s="77">
        <f t="shared" si="36"/>
        <v>0.17785326086956552</v>
      </c>
      <c r="BX283" s="77">
        <f t="shared" si="39"/>
        <v>0.59284420289855178</v>
      </c>
      <c r="BY283" s="76">
        <f t="shared" si="37"/>
        <v>1.7</v>
      </c>
      <c r="BZ283" s="76">
        <f t="shared" si="38"/>
        <v>0.34873188405797162</v>
      </c>
      <c r="CA283" s="78">
        <v>5.5199999999999898</v>
      </c>
    </row>
    <row r="284" spans="39:79">
      <c r="AM284" s="102">
        <f t="shared" si="32"/>
        <v>5.6399999999999899</v>
      </c>
      <c r="AN284" s="103">
        <f t="shared" si="33"/>
        <v>0.17406914893617051</v>
      </c>
      <c r="AP284" s="104">
        <f t="shared" si="34"/>
        <v>5.6399999999999899</v>
      </c>
      <c r="AQ284" s="105">
        <f t="shared" si="35"/>
        <v>0.58023049645390168</v>
      </c>
      <c r="AR284" s="97"/>
      <c r="BW284" s="77">
        <f t="shared" si="36"/>
        <v>0.1772111913357404</v>
      </c>
      <c r="BX284" s="77">
        <f t="shared" si="39"/>
        <v>0.59070397111913464</v>
      </c>
      <c r="BY284" s="76">
        <f t="shared" si="37"/>
        <v>1.7</v>
      </c>
      <c r="BZ284" s="76">
        <f t="shared" si="38"/>
        <v>0.34747292418772624</v>
      </c>
      <c r="CA284" s="78">
        <v>5.5399999999999903</v>
      </c>
    </row>
    <row r="285" spans="39:79">
      <c r="AM285" s="102">
        <f t="shared" si="32"/>
        <v>5.6599999999999904</v>
      </c>
      <c r="AN285" s="103">
        <f t="shared" si="33"/>
        <v>0.17345406360424054</v>
      </c>
      <c r="AP285" s="104">
        <f t="shared" si="34"/>
        <v>5.6599999999999904</v>
      </c>
      <c r="AQ285" s="105">
        <f t="shared" si="35"/>
        <v>0.57818021201413516</v>
      </c>
      <c r="AR285" s="97"/>
      <c r="BW285" s="77">
        <f t="shared" si="36"/>
        <v>0.17657374100719456</v>
      </c>
      <c r="BX285" s="77">
        <f t="shared" si="39"/>
        <v>0.58857913669064854</v>
      </c>
      <c r="BY285" s="76">
        <f t="shared" si="37"/>
        <v>1.7</v>
      </c>
      <c r="BZ285" s="76">
        <f t="shared" si="38"/>
        <v>0.34622302158273444</v>
      </c>
      <c r="CA285" s="78">
        <v>5.5599999999999898</v>
      </c>
    </row>
    <row r="286" spans="39:79">
      <c r="AM286" s="102">
        <f t="shared" si="32"/>
        <v>5.6799999999999899</v>
      </c>
      <c r="AN286" s="103">
        <f t="shared" si="33"/>
        <v>0.17284330985915519</v>
      </c>
      <c r="AP286" s="104">
        <f t="shared" si="34"/>
        <v>5.6799999999999899</v>
      </c>
      <c r="AQ286" s="105">
        <f t="shared" si="35"/>
        <v>0.57614436619718401</v>
      </c>
      <c r="AR286" s="97"/>
      <c r="BW286" s="77">
        <f t="shared" si="36"/>
        <v>0.17594086021505406</v>
      </c>
      <c r="BX286" s="77">
        <f t="shared" si="39"/>
        <v>0.58646953405018021</v>
      </c>
      <c r="BY286" s="76">
        <f t="shared" si="37"/>
        <v>1.7</v>
      </c>
      <c r="BZ286" s="76">
        <f t="shared" si="38"/>
        <v>0.34498207885304716</v>
      </c>
      <c r="CA286" s="78">
        <v>5.5799999999999903</v>
      </c>
    </row>
    <row r="287" spans="39:79">
      <c r="AM287" s="102">
        <f t="shared" si="32"/>
        <v>5.6999999999999904</v>
      </c>
      <c r="AN287" s="103">
        <f t="shared" si="33"/>
        <v>0.17223684210526344</v>
      </c>
      <c r="AP287" s="104">
        <f t="shared" si="34"/>
        <v>5.6999999999999904</v>
      </c>
      <c r="AQ287" s="105">
        <f t="shared" si="35"/>
        <v>0.57412280701754481</v>
      </c>
      <c r="AR287" s="97"/>
      <c r="BW287" s="77">
        <f t="shared" si="36"/>
        <v>0.17531250000000029</v>
      </c>
      <c r="BX287" s="77">
        <f t="shared" si="39"/>
        <v>0.58437500000000098</v>
      </c>
      <c r="BY287" s="76">
        <f t="shared" si="37"/>
        <v>1.7</v>
      </c>
      <c r="BZ287" s="76">
        <f t="shared" si="38"/>
        <v>0.34375000000000061</v>
      </c>
      <c r="CA287" s="78">
        <v>5.5999999999999899</v>
      </c>
    </row>
    <row r="288" spans="39:79">
      <c r="AM288" s="102">
        <f t="shared" si="32"/>
        <v>5.71999999999999</v>
      </c>
      <c r="AN288" s="103">
        <f t="shared" si="33"/>
        <v>0.17163461538461564</v>
      </c>
      <c r="AP288" s="104">
        <f t="shared" si="34"/>
        <v>5.71999999999999</v>
      </c>
      <c r="AQ288" s="105">
        <f t="shared" si="35"/>
        <v>0.57211538461538547</v>
      </c>
      <c r="AR288" s="97"/>
      <c r="BW288" s="77">
        <f t="shared" si="36"/>
        <v>0.17468861209964442</v>
      </c>
      <c r="BX288" s="77">
        <f t="shared" si="39"/>
        <v>0.58229537366548145</v>
      </c>
      <c r="BY288" s="76">
        <f t="shared" si="37"/>
        <v>1.7</v>
      </c>
      <c r="BZ288" s="76">
        <f t="shared" si="38"/>
        <v>0.34252669039145967</v>
      </c>
      <c r="CA288" s="78">
        <v>5.6199999999999903</v>
      </c>
    </row>
    <row r="289" spans="39:79">
      <c r="AM289" s="102">
        <f t="shared" si="32"/>
        <v>5.7399999999999904</v>
      </c>
      <c r="AN289" s="103">
        <f t="shared" si="33"/>
        <v>0.17103658536585389</v>
      </c>
      <c r="AP289" s="104">
        <f t="shared" si="34"/>
        <v>5.7399999999999904</v>
      </c>
      <c r="AQ289" s="105">
        <f t="shared" si="35"/>
        <v>0.57012195121951303</v>
      </c>
      <c r="AR289" s="97"/>
      <c r="BW289" s="77">
        <f t="shared" si="36"/>
        <v>0.17406914893617051</v>
      </c>
      <c r="BX289" s="77">
        <f t="shared" si="39"/>
        <v>0.58023049645390168</v>
      </c>
      <c r="BY289" s="76">
        <f t="shared" si="37"/>
        <v>1.7</v>
      </c>
      <c r="BZ289" s="76">
        <f t="shared" si="38"/>
        <v>0.34131205673758924</v>
      </c>
      <c r="CA289" s="78">
        <v>5.6399999999999899</v>
      </c>
    </row>
    <row r="290" spans="39:79">
      <c r="AM290" s="102">
        <f t="shared" si="32"/>
        <v>5.75999999999999</v>
      </c>
      <c r="AN290" s="103">
        <f t="shared" si="33"/>
        <v>0.17044270833333361</v>
      </c>
      <c r="AP290" s="104">
        <f t="shared" si="34"/>
        <v>5.75999999999999</v>
      </c>
      <c r="AQ290" s="105">
        <f t="shared" si="35"/>
        <v>0.56814236111111205</v>
      </c>
      <c r="AR290" s="97"/>
      <c r="BW290" s="77">
        <f t="shared" si="36"/>
        <v>0.17345406360424054</v>
      </c>
      <c r="BX290" s="77">
        <f t="shared" si="39"/>
        <v>0.57818021201413516</v>
      </c>
      <c r="BY290" s="76">
        <f t="shared" si="37"/>
        <v>1.7</v>
      </c>
      <c r="BZ290" s="76">
        <f t="shared" si="38"/>
        <v>0.34010600706713834</v>
      </c>
      <c r="CA290" s="78">
        <v>5.6599999999999904</v>
      </c>
    </row>
    <row r="291" spans="39:79">
      <c r="AM291" s="102">
        <f t="shared" si="32"/>
        <v>5.7799999999999896</v>
      </c>
      <c r="AN291" s="103">
        <f t="shared" si="33"/>
        <v>0.16985294117647085</v>
      </c>
      <c r="AP291" s="104">
        <f t="shared" si="34"/>
        <v>5.7799999999999896</v>
      </c>
      <c r="AQ291" s="105">
        <f t="shared" si="35"/>
        <v>0.56617647058823617</v>
      </c>
      <c r="AR291" s="97"/>
      <c r="BW291" s="77">
        <f t="shared" si="36"/>
        <v>0.17284330985915519</v>
      </c>
      <c r="BX291" s="77">
        <f t="shared" si="39"/>
        <v>0.57614436619718401</v>
      </c>
      <c r="BY291" s="76">
        <f t="shared" si="37"/>
        <v>1.7</v>
      </c>
      <c r="BZ291" s="76">
        <f t="shared" si="38"/>
        <v>0.33890845070422593</v>
      </c>
      <c r="CA291" s="78">
        <v>5.6799999999999899</v>
      </c>
    </row>
    <row r="292" spans="39:79">
      <c r="AM292" s="102">
        <f t="shared" si="32"/>
        <v>5.7999999999999803</v>
      </c>
      <c r="AN292" s="103">
        <f t="shared" si="33"/>
        <v>0.16926724137931093</v>
      </c>
      <c r="AP292" s="104">
        <f t="shared" si="34"/>
        <v>5.7999999999999803</v>
      </c>
      <c r="AQ292" s="105">
        <f t="shared" si="35"/>
        <v>0.56422413793103643</v>
      </c>
      <c r="AR292" s="97"/>
      <c r="BW292" s="77">
        <f t="shared" si="36"/>
        <v>0.17223684210526344</v>
      </c>
      <c r="BX292" s="77">
        <f t="shared" si="39"/>
        <v>0.57412280701754481</v>
      </c>
      <c r="BY292" s="76">
        <f t="shared" si="37"/>
        <v>1.7</v>
      </c>
      <c r="BZ292" s="76">
        <f t="shared" si="38"/>
        <v>0.33771929824561459</v>
      </c>
      <c r="CA292" s="78">
        <v>5.6999999999999904</v>
      </c>
    </row>
    <row r="293" spans="39:79">
      <c r="AM293" s="102">
        <f t="shared" si="32"/>
        <v>5.8199999999999799</v>
      </c>
      <c r="AN293" s="103">
        <f t="shared" si="33"/>
        <v>0.16868556701030984</v>
      </c>
      <c r="AP293" s="104">
        <f t="shared" si="34"/>
        <v>5.8199999999999799</v>
      </c>
      <c r="AQ293" s="105">
        <f t="shared" si="35"/>
        <v>0.56228522336769948</v>
      </c>
      <c r="AR293" s="97"/>
      <c r="BW293" s="77">
        <f t="shared" si="36"/>
        <v>0.17163461538461564</v>
      </c>
      <c r="BX293" s="77">
        <f t="shared" si="39"/>
        <v>0.57211538461538547</v>
      </c>
      <c r="BY293" s="76">
        <f t="shared" si="37"/>
        <v>1.7</v>
      </c>
      <c r="BZ293" s="76">
        <f t="shared" si="38"/>
        <v>0.33653846153846206</v>
      </c>
      <c r="CA293" s="78">
        <v>5.71999999999999</v>
      </c>
    </row>
    <row r="294" spans="39:79">
      <c r="AM294" s="102">
        <f t="shared" si="32"/>
        <v>5.8399999999999803</v>
      </c>
      <c r="AN294" s="103">
        <f t="shared" si="33"/>
        <v>0.16810787671232932</v>
      </c>
      <c r="AP294" s="104">
        <f t="shared" si="34"/>
        <v>5.8399999999999803</v>
      </c>
      <c r="AQ294" s="105">
        <f t="shared" si="35"/>
        <v>0.56035958904109773</v>
      </c>
      <c r="AR294" s="97"/>
      <c r="BW294" s="77">
        <f t="shared" si="36"/>
        <v>0.17103658536585389</v>
      </c>
      <c r="BX294" s="77">
        <f t="shared" si="39"/>
        <v>0.57012195121951303</v>
      </c>
      <c r="BY294" s="76">
        <f t="shared" si="37"/>
        <v>1.7</v>
      </c>
      <c r="BZ294" s="76">
        <f t="shared" si="38"/>
        <v>0.33536585365853711</v>
      </c>
      <c r="CA294" s="78">
        <v>5.7399999999999904</v>
      </c>
    </row>
    <row r="295" spans="39:79">
      <c r="AM295" s="102">
        <f t="shared" si="32"/>
        <v>5.8599999999999799</v>
      </c>
      <c r="AN295" s="103">
        <f t="shared" si="33"/>
        <v>0.16753412969283332</v>
      </c>
      <c r="AP295" s="104">
        <f t="shared" si="34"/>
        <v>5.8599999999999799</v>
      </c>
      <c r="AQ295" s="105">
        <f t="shared" si="35"/>
        <v>0.55844709897611111</v>
      </c>
      <c r="AR295" s="97"/>
      <c r="BW295" s="77">
        <f t="shared" si="36"/>
        <v>0.17044270833333361</v>
      </c>
      <c r="BX295" s="77">
        <f t="shared" si="39"/>
        <v>0.56814236111111205</v>
      </c>
      <c r="BY295" s="76">
        <f t="shared" si="37"/>
        <v>1.7</v>
      </c>
      <c r="BZ295" s="76">
        <f t="shared" si="38"/>
        <v>0.33420138888888945</v>
      </c>
      <c r="CA295" s="78">
        <v>5.75999999999999</v>
      </c>
    </row>
    <row r="296" spans="39:79">
      <c r="AM296" s="102">
        <f t="shared" si="32"/>
        <v>5.8799999999999804</v>
      </c>
      <c r="AN296" s="103">
        <f t="shared" si="33"/>
        <v>0.16696428571428629</v>
      </c>
      <c r="AP296" s="104">
        <f t="shared" si="34"/>
        <v>5.8799999999999804</v>
      </c>
      <c r="AQ296" s="105">
        <f t="shared" si="35"/>
        <v>0.55654761904762096</v>
      </c>
      <c r="AR296" s="97"/>
      <c r="BW296" s="77">
        <f t="shared" si="36"/>
        <v>0.16985294117647085</v>
      </c>
      <c r="BX296" s="77">
        <f t="shared" si="39"/>
        <v>0.56617647058823617</v>
      </c>
      <c r="BY296" s="76">
        <f t="shared" si="37"/>
        <v>1.7</v>
      </c>
      <c r="BZ296" s="76">
        <f t="shared" si="38"/>
        <v>0.33304498269896249</v>
      </c>
      <c r="CA296" s="78">
        <v>5.7799999999999896</v>
      </c>
    </row>
    <row r="297" spans="39:79">
      <c r="AM297" s="102">
        <f t="shared" si="32"/>
        <v>5.8999999999999799</v>
      </c>
      <c r="AN297" s="103">
        <f t="shared" si="33"/>
        <v>0.16639830508474632</v>
      </c>
      <c r="AP297" s="104">
        <f t="shared" si="34"/>
        <v>5.8999999999999799</v>
      </c>
      <c r="AQ297" s="105">
        <f t="shared" si="35"/>
        <v>0.55466101694915437</v>
      </c>
      <c r="AR297" s="97"/>
      <c r="BW297" s="77">
        <f t="shared" si="36"/>
        <v>0.16926724137931093</v>
      </c>
      <c r="BX297" s="77">
        <f t="shared" si="39"/>
        <v>0.56422413793103643</v>
      </c>
      <c r="BY297" s="76">
        <f t="shared" si="37"/>
        <v>1.7</v>
      </c>
      <c r="BZ297" s="76">
        <f t="shared" si="38"/>
        <v>0.33189655172413907</v>
      </c>
      <c r="CA297" s="78">
        <v>5.7999999999999803</v>
      </c>
    </row>
    <row r="298" spans="39:79">
      <c r="AM298" s="102">
        <f t="shared" si="32"/>
        <v>5.9199999999999804</v>
      </c>
      <c r="AN298" s="103">
        <f t="shared" si="33"/>
        <v>0.16583614864864918</v>
      </c>
      <c r="AP298" s="104">
        <f t="shared" si="34"/>
        <v>5.9199999999999804</v>
      </c>
      <c r="AQ298" s="105">
        <f t="shared" si="35"/>
        <v>0.55278716216216395</v>
      </c>
      <c r="AR298" s="97"/>
      <c r="BW298" s="77">
        <f t="shared" si="36"/>
        <v>0.16868556701030984</v>
      </c>
      <c r="BX298" s="77">
        <f t="shared" si="39"/>
        <v>0.56228522336769948</v>
      </c>
      <c r="BY298" s="76">
        <f t="shared" si="37"/>
        <v>1.7</v>
      </c>
      <c r="BZ298" s="76">
        <f t="shared" si="38"/>
        <v>0.33075601374570557</v>
      </c>
      <c r="CA298" s="78">
        <v>5.8199999999999799</v>
      </c>
    </row>
    <row r="299" spans="39:79">
      <c r="AM299" s="102">
        <f t="shared" si="32"/>
        <v>5.93999999999998</v>
      </c>
      <c r="AN299" s="103">
        <f t="shared" si="33"/>
        <v>0.16527777777777833</v>
      </c>
      <c r="AP299" s="104">
        <f t="shared" si="34"/>
        <v>5.93999999999998</v>
      </c>
      <c r="AQ299" s="105">
        <f t="shared" si="35"/>
        <v>0.55092592592592782</v>
      </c>
      <c r="AR299" s="97"/>
      <c r="BW299" s="77">
        <f t="shared" si="36"/>
        <v>0.16810787671232932</v>
      </c>
      <c r="BX299" s="77">
        <f t="shared" si="39"/>
        <v>0.56035958904109773</v>
      </c>
      <c r="BY299" s="76">
        <f t="shared" si="37"/>
        <v>1.7</v>
      </c>
      <c r="BZ299" s="76">
        <f t="shared" si="38"/>
        <v>0.32962328767123394</v>
      </c>
      <c r="CA299" s="78">
        <v>5.8399999999999803</v>
      </c>
    </row>
    <row r="300" spans="39:79">
      <c r="AM300" s="102">
        <f t="shared" si="32"/>
        <v>5.9599999999999804</v>
      </c>
      <c r="AN300" s="103">
        <f t="shared" si="33"/>
        <v>0.16472315436241663</v>
      </c>
      <c r="AP300" s="104">
        <f t="shared" si="34"/>
        <v>5.9599999999999804</v>
      </c>
      <c r="AQ300" s="105">
        <f t="shared" si="35"/>
        <v>0.54907718120805549</v>
      </c>
      <c r="AR300" s="97"/>
      <c r="BW300" s="77">
        <f t="shared" si="36"/>
        <v>0.16753412969283332</v>
      </c>
      <c r="BX300" s="77">
        <f t="shared" si="39"/>
        <v>0.55844709897611111</v>
      </c>
      <c r="BY300" s="76">
        <f t="shared" si="37"/>
        <v>1.7</v>
      </c>
      <c r="BZ300" s="76">
        <f t="shared" si="38"/>
        <v>0.32849829351535947</v>
      </c>
      <c r="CA300" s="78">
        <v>5.8599999999999799</v>
      </c>
    </row>
    <row r="301" spans="39:79">
      <c r="AM301" s="102">
        <f t="shared" si="32"/>
        <v>5.97999999999998</v>
      </c>
      <c r="AN301" s="103">
        <f t="shared" si="33"/>
        <v>0.16417224080267612</v>
      </c>
      <c r="AP301" s="104">
        <f t="shared" si="34"/>
        <v>5.97999999999998</v>
      </c>
      <c r="AQ301" s="105">
        <f t="shared" si="35"/>
        <v>0.54724080267558706</v>
      </c>
      <c r="AR301" s="97"/>
      <c r="BW301" s="77">
        <f t="shared" si="36"/>
        <v>0.16696428571428629</v>
      </c>
      <c r="BX301" s="77">
        <f t="shared" si="39"/>
        <v>0.55654761904762096</v>
      </c>
      <c r="BY301" s="76">
        <f t="shared" si="37"/>
        <v>1.7</v>
      </c>
      <c r="BZ301" s="76">
        <f t="shared" si="38"/>
        <v>0.32738095238095349</v>
      </c>
      <c r="CA301" s="78">
        <v>5.8799999999999804</v>
      </c>
    </row>
    <row r="302" spans="39:79">
      <c r="AM302" s="102">
        <f t="shared" si="32"/>
        <v>5.9999999999999796</v>
      </c>
      <c r="AN302" s="103">
        <f t="shared" si="33"/>
        <v>0.16362500000000052</v>
      </c>
      <c r="AP302" s="104">
        <f t="shared" si="34"/>
        <v>5.9999999999999796</v>
      </c>
      <c r="AQ302" s="105">
        <f t="shared" si="35"/>
        <v>0.54541666666666844</v>
      </c>
      <c r="AR302" s="97"/>
      <c r="BW302" s="77">
        <f t="shared" si="36"/>
        <v>0.16639830508474632</v>
      </c>
      <c r="BX302" s="77">
        <f t="shared" si="39"/>
        <v>0.55466101694915437</v>
      </c>
      <c r="BY302" s="76">
        <f t="shared" si="37"/>
        <v>1.7</v>
      </c>
      <c r="BZ302" s="76">
        <f t="shared" si="38"/>
        <v>0.32627118644067904</v>
      </c>
      <c r="CA302" s="78">
        <v>5.8999999999999799</v>
      </c>
    </row>
    <row r="303" spans="39:79">
      <c r="AR303" s="97"/>
      <c r="BW303" s="77">
        <f t="shared" si="36"/>
        <v>0.16583614864864918</v>
      </c>
      <c r="BX303" s="77">
        <f t="shared" si="39"/>
        <v>0.55278716216216395</v>
      </c>
      <c r="BY303" s="76">
        <f t="shared" si="37"/>
        <v>1.7</v>
      </c>
      <c r="BZ303" s="76">
        <f t="shared" si="38"/>
        <v>0.32516891891891997</v>
      </c>
      <c r="CA303" s="78">
        <v>5.9199999999999804</v>
      </c>
    </row>
    <row r="304" spans="39:79">
      <c r="AR304" s="97"/>
      <c r="BW304" s="77">
        <f t="shared" si="36"/>
        <v>0.16527777777777833</v>
      </c>
      <c r="BX304" s="77">
        <f t="shared" si="39"/>
        <v>0.55092592592592782</v>
      </c>
      <c r="BY304" s="76">
        <f t="shared" si="37"/>
        <v>1.7</v>
      </c>
      <c r="BZ304" s="76">
        <f t="shared" si="38"/>
        <v>0.32407407407407518</v>
      </c>
      <c r="CA304" s="78">
        <v>5.93999999999998</v>
      </c>
    </row>
    <row r="305" spans="44:79">
      <c r="AR305" s="97"/>
      <c r="BW305" s="77">
        <f t="shared" si="36"/>
        <v>0.16472315436241663</v>
      </c>
      <c r="BX305" s="77">
        <f t="shared" si="39"/>
        <v>0.54907718120805549</v>
      </c>
      <c r="BY305" s="76">
        <f t="shared" si="37"/>
        <v>1.7</v>
      </c>
      <c r="BZ305" s="76">
        <f t="shared" si="38"/>
        <v>0.3229865771812091</v>
      </c>
      <c r="CA305" s="78">
        <v>5.9599999999999804</v>
      </c>
    </row>
    <row r="306" spans="44:79">
      <c r="AR306" s="97"/>
      <c r="BW306" s="77">
        <f t="shared" si="36"/>
        <v>0.16417224080267612</v>
      </c>
      <c r="BX306" s="77">
        <f t="shared" si="39"/>
        <v>0.54724080267558706</v>
      </c>
      <c r="BY306" s="76">
        <f t="shared" si="37"/>
        <v>1.7</v>
      </c>
      <c r="BZ306" s="76">
        <f t="shared" si="38"/>
        <v>0.32190635451505123</v>
      </c>
      <c r="CA306" s="78">
        <v>5.97999999999998</v>
      </c>
    </row>
    <row r="307" spans="44:79">
      <c r="AR307" s="97"/>
      <c r="BW307" s="77">
        <f t="shared" si="36"/>
        <v>0.16362500000000052</v>
      </c>
      <c r="BX307" s="77">
        <f t="shared" si="39"/>
        <v>0.54541666666666844</v>
      </c>
      <c r="BY307" s="76">
        <f t="shared" si="37"/>
        <v>1.7</v>
      </c>
      <c r="BZ307" s="76">
        <f t="shared" si="38"/>
        <v>0.32083333333333441</v>
      </c>
      <c r="CA307" s="78">
        <v>5.9999999999999796</v>
      </c>
    </row>
    <row r="308" spans="44:79">
      <c r="AR308" s="97"/>
    </row>
    <row r="309" spans="44:79">
      <c r="AR309" s="97"/>
    </row>
    <row r="310" spans="44:79">
      <c r="AR310" s="97"/>
    </row>
    <row r="311" spans="44:79">
      <c r="AR311" s="97"/>
    </row>
    <row r="312" spans="44:79">
      <c r="AR312" s="97"/>
    </row>
    <row r="313" spans="44:79">
      <c r="AR313" s="97"/>
    </row>
    <row r="314" spans="44:79">
      <c r="AR314" s="97"/>
    </row>
    <row r="315" spans="44:79">
      <c r="AR315" s="97"/>
    </row>
    <row r="316" spans="44:79">
      <c r="AR316" s="97"/>
    </row>
    <row r="317" spans="44:79">
      <c r="AR317" s="97"/>
    </row>
    <row r="318" spans="44:79">
      <c r="AR318" s="97"/>
    </row>
    <row r="319" spans="44:79">
      <c r="AR319" s="97"/>
    </row>
    <row r="320" spans="44:79">
      <c r="AR320" s="97"/>
    </row>
    <row r="321" spans="44:44">
      <c r="AR321" s="97"/>
    </row>
  </sheetData>
  <sheetProtection algorithmName="SHA-512" hashValue="N4R526lqhXQ8861BMXdqgooQdaG5l+spGVqOYkzKqbOxbmYyjdi47TIsFZ2zCpSKazgL5CXWjbQq7nclYeBD/g==" saltValue="c/AH9/ZarT3XWFeZXRSgVA==" spinCount="100000" sheet="1" objects="1" scenarios="1" selectLockedCells="1"/>
  <mergeCells count="131">
    <mergeCell ref="C9:N9"/>
    <mergeCell ref="C7:AD8"/>
    <mergeCell ref="B12:AK13"/>
    <mergeCell ref="AC50:AK50"/>
    <mergeCell ref="B50:I50"/>
    <mergeCell ref="BV4:CA4"/>
    <mergeCell ref="C20:D20"/>
    <mergeCell ref="E20:F20"/>
    <mergeCell ref="K20:L20"/>
    <mergeCell ref="Z39:AB39"/>
    <mergeCell ref="R39:S39"/>
    <mergeCell ref="R42:S42"/>
    <mergeCell ref="Z42:AB42"/>
    <mergeCell ref="W40:Z41"/>
    <mergeCell ref="AS2:BB4"/>
    <mergeCell ref="AA9:AB9"/>
    <mergeCell ref="V9:Z9"/>
    <mergeCell ref="AE9:AJ9"/>
    <mergeCell ref="N33:O33"/>
    <mergeCell ref="S33:T33"/>
    <mergeCell ref="U33:V33"/>
    <mergeCell ref="T30:U30"/>
    <mergeCell ref="V30:W30"/>
    <mergeCell ref="X30:Y30"/>
    <mergeCell ref="AZ32:BA32"/>
    <mergeCell ref="B16:B18"/>
    <mergeCell ref="B19:B20"/>
    <mergeCell ref="B21:B22"/>
    <mergeCell ref="B25:B27"/>
    <mergeCell ref="T16:AK17"/>
    <mergeCell ref="C16:S17"/>
    <mergeCell ref="T18:AK18"/>
    <mergeCell ref="C18:S18"/>
    <mergeCell ref="T19:AK19"/>
    <mergeCell ref="C19:S19"/>
    <mergeCell ref="T21:AK21"/>
    <mergeCell ref="C21:S21"/>
    <mergeCell ref="T23:AK23"/>
    <mergeCell ref="T24:AK24"/>
    <mergeCell ref="T25:AK25"/>
    <mergeCell ref="C23:S23"/>
    <mergeCell ref="C24:S24"/>
    <mergeCell ref="C25:S25"/>
    <mergeCell ref="C26:S26"/>
    <mergeCell ref="AH27:AK27"/>
    <mergeCell ref="G27:J27"/>
    <mergeCell ref="E27:F27"/>
    <mergeCell ref="T28:AK28"/>
    <mergeCell ref="B46:AK46"/>
    <mergeCell ref="E31:AI31"/>
    <mergeCell ref="G42:H42"/>
    <mergeCell ref="I42:M42"/>
    <mergeCell ref="N42:O42"/>
    <mergeCell ref="U42:V42"/>
    <mergeCell ref="C40:E41"/>
    <mergeCell ref="F40:H41"/>
    <mergeCell ref="AE39:AF39"/>
    <mergeCell ref="V34:Y36"/>
    <mergeCell ref="L34:N36"/>
    <mergeCell ref="E30:F30"/>
    <mergeCell ref="C48:AK48"/>
    <mergeCell ref="C49:AK49"/>
    <mergeCell ref="W43:Z44"/>
    <mergeCell ref="U40:V41"/>
    <mergeCell ref="U43:V44"/>
    <mergeCell ref="L40:N41"/>
    <mergeCell ref="G37:AE37"/>
    <mergeCell ref="C37:F37"/>
    <mergeCell ref="T34:U36"/>
    <mergeCell ref="Q34:R36"/>
    <mergeCell ref="N39:O39"/>
    <mergeCell ref="U39:V39"/>
    <mergeCell ref="B45:AK45"/>
    <mergeCell ref="G39:H39"/>
    <mergeCell ref="I39:M39"/>
    <mergeCell ref="AF37:AI37"/>
    <mergeCell ref="AE42:AF42"/>
    <mergeCell ref="C43:E44"/>
    <mergeCell ref="F43:H44"/>
    <mergeCell ref="L43:N44"/>
    <mergeCell ref="B47:AK47"/>
    <mergeCell ref="B48:B49"/>
    <mergeCell ref="Z34:Z36"/>
    <mergeCell ref="B5:B7"/>
    <mergeCell ref="AL5:AL7"/>
    <mergeCell ref="AX13:AY14"/>
    <mergeCell ref="AZ13:BA14"/>
    <mergeCell ref="C29:AK29"/>
    <mergeCell ref="AF30:AG30"/>
    <mergeCell ref="N30:O30"/>
    <mergeCell ref="L30:M30"/>
    <mergeCell ref="J30:K30"/>
    <mergeCell ref="C30:D30"/>
    <mergeCell ref="AX16:AY16"/>
    <mergeCell ref="AZ16:BA16"/>
    <mergeCell ref="T22:U22"/>
    <mergeCell ref="V20:W20"/>
    <mergeCell ref="X20:Y20"/>
    <mergeCell ref="AH20:AI20"/>
    <mergeCell ref="AJ20:AK20"/>
    <mergeCell ref="O27:Q27"/>
    <mergeCell ref="AF27:AG27"/>
    <mergeCell ref="R30:S30"/>
    <mergeCell ref="AZ27:BA27"/>
    <mergeCell ref="G30:H30"/>
    <mergeCell ref="AH30:AI30"/>
    <mergeCell ref="AJ30:AK30"/>
    <mergeCell ref="C2:AJ2"/>
    <mergeCell ref="C38:AJ38"/>
    <mergeCell ref="C32:AJ32"/>
    <mergeCell ref="F34:H36"/>
    <mergeCell ref="C34:E36"/>
    <mergeCell ref="AF26:AH26"/>
    <mergeCell ref="X26:Z26"/>
    <mergeCell ref="AC33:AD33"/>
    <mergeCell ref="AE33:AF33"/>
    <mergeCell ref="I33:M33"/>
    <mergeCell ref="M20:N20"/>
    <mergeCell ref="O20:Q20"/>
    <mergeCell ref="R20:S20"/>
    <mergeCell ref="C28:S28"/>
    <mergeCell ref="C5:AJ5"/>
    <mergeCell ref="AE6:AJ8"/>
    <mergeCell ref="B14:Y15"/>
    <mergeCell ref="AB14:AK15"/>
    <mergeCell ref="Z14:AA15"/>
    <mergeCell ref="C6:AD6"/>
    <mergeCell ref="O9:P9"/>
    <mergeCell ref="G33:H33"/>
    <mergeCell ref="Q22:S22"/>
    <mergeCell ref="R27:V27"/>
  </mergeCells>
  <phoneticPr fontId="28" type="noConversion"/>
  <dataValidations count="6">
    <dataValidation type="list" allowBlank="1" showInputMessage="1" showErrorMessage="1" errorTitle="خطا" error=".از گزینه های موجود یک گزینه را انتخاب فرمایید" sqref="T19" xr:uid="{00000000-0002-0000-0000-000001000000}">
      <formula1>$BK$6:$BK$9</formula1>
    </dataValidation>
    <dataValidation type="list" allowBlank="1" showInputMessage="1" showErrorMessage="1" errorTitle="خطا" error=".از گزینه های موجود یک گزینه را اتخاب فرمایید" sqref="T16" xr:uid="{00000000-0002-0000-0000-000002000000}">
      <formula1>$BD$6:$BD$9</formula1>
    </dataValidation>
    <dataValidation type="list" allowBlank="1" showInputMessage="1" showErrorMessage="1" errorTitle="خطا" error=".از گزینه های موجود یک گزینه را انتخاب فرمایید" sqref="T21" xr:uid="{00000000-0002-0000-0000-000003000000}">
      <formula1>$BE$6:$BE$9</formula1>
    </dataValidation>
    <dataValidation type="list" allowBlank="1" showInputMessage="1" showErrorMessage="1" errorTitle="خطا" error=".از گزینه های موجود یک گزینه را انتخاب فرمایید" sqref="T23" xr:uid="{00000000-0002-0000-0000-000004000000}">
      <formula1>$BL$6:$BL$11</formula1>
    </dataValidation>
    <dataValidation type="list" allowBlank="1" showInputMessage="1" showErrorMessage="1" errorTitle="خطا" error=".از گزینه های موجود یک گزینه را انتخاب فرمایید" sqref="T25:AK25" xr:uid="{1EAADE3C-4537-47A9-AA5E-64CD9931B4B5}">
      <formula1>$BT$4:$BT$5</formula1>
    </dataValidation>
    <dataValidation type="list" allowBlank="1" showInputMessage="1" showErrorMessage="1" errorTitle="خطا" error=".از گزینه های موجود یک گزینه را انتخاب فرمایید" sqref="T28:AK28" xr:uid="{483B1EE3-C7C0-47EF-850D-28CB7B2A000F}">
      <formula1>$BF$6:$BF$36</formula1>
    </dataValidation>
  </dataValidations>
  <hyperlinks>
    <hyperlink ref="C9" r:id="rId1" xr:uid="{00000000-0004-0000-0000-000000000000}"/>
    <hyperlink ref="C2:AJ2" location="'(2800-V5)-۲ضریب زلزله '!A20" display="انتقال به صفحه محاسبه براساس ویرایش پنچم استاندارد ۲۸۰۰" xr:uid="{C3624314-D052-45FB-9422-CA8DA4F4CA21}"/>
  </hyperlinks>
  <printOptions horizontalCentered="1" verticalCentered="1"/>
  <pageMargins left="0.25" right="0.25" top="0.25" bottom="0.25" header="0.05" footer="0.05"/>
  <pageSetup paperSize="9" orientation="portrait" blackAndWhite="1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964D2-7A66-49F7-A5FA-897845A4C643}">
  <dimension ref="A1:GA449"/>
  <sheetViews>
    <sheetView showGridLines="0" rightToLeft="1" tabSelected="1" zoomScaleNormal="100" workbookViewId="0">
      <selection activeCell="Y28" sqref="Y28:AP29"/>
    </sheetView>
  </sheetViews>
  <sheetFormatPr defaultColWidth="2.21875" defaultRowHeight="12" customHeight="1"/>
  <cols>
    <col min="1" max="3" width="2.21875" style="8"/>
    <col min="4" max="8" width="2.21875" style="75"/>
    <col min="9" max="41" width="2.21875" style="8"/>
    <col min="42" max="42" width="2.21875" style="6"/>
    <col min="43" max="43" width="7" style="179" customWidth="1"/>
    <col min="44" max="46" width="7" style="180" customWidth="1"/>
    <col min="47" max="47" width="2.21875" style="180" customWidth="1"/>
    <col min="48" max="48" width="8.109375" style="182" customWidth="1"/>
    <col min="49" max="49" width="8.109375" style="184" customWidth="1"/>
    <col min="50" max="50" width="1.77734375" style="180" customWidth="1"/>
    <col min="51" max="51" width="8.109375" style="186" customWidth="1"/>
    <col min="52" max="52" width="9.21875" style="188" customWidth="1"/>
    <col min="53" max="54" width="2.44140625" style="202" customWidth="1"/>
    <col min="55" max="55" width="74.5546875" style="181" customWidth="1"/>
    <col min="56" max="56" width="10.6640625" style="6" customWidth="1"/>
    <col min="57" max="57" width="1.5546875" style="76" customWidth="1"/>
    <col min="58" max="58" width="10.6640625" style="6" customWidth="1"/>
    <col min="59" max="59" width="2.21875" style="76" customWidth="1"/>
    <col min="60" max="60" width="10.6640625" style="6" customWidth="1"/>
    <col min="61" max="61" width="1.88671875" style="76" customWidth="1"/>
    <col min="62" max="62" width="10.6640625" style="6" customWidth="1"/>
    <col min="63" max="63" width="2" style="76" customWidth="1"/>
    <col min="64" max="64" width="10.6640625" style="6" customWidth="1"/>
    <col min="65" max="65" width="14.33203125" style="6" customWidth="1"/>
    <col min="66" max="66" width="1.77734375" style="6" customWidth="1"/>
    <col min="67" max="70" width="7.88671875" style="76" customWidth="1"/>
    <col min="71" max="71" width="18.5546875" style="8" customWidth="1"/>
    <col min="72" max="72" width="1.5546875" style="76" customWidth="1"/>
    <col min="73" max="73" width="53.109375" style="8" customWidth="1"/>
    <col min="74" max="79" width="6.88671875" style="8" customWidth="1"/>
    <col min="80" max="88" width="7.109375" style="76" customWidth="1"/>
    <col min="89" max="131" width="2.21875" style="76"/>
    <col min="132" max="183" width="2.21875" style="6"/>
    <col min="184" max="16384" width="2.21875" style="8"/>
  </cols>
  <sheetData>
    <row r="1" spans="1:183" ht="12" customHeight="1" thickBot="1">
      <c r="A1" s="76"/>
      <c r="AT1" s="80"/>
      <c r="AU1" s="80"/>
      <c r="AV1" s="895" t="s">
        <v>255</v>
      </c>
      <c r="AW1" s="895"/>
      <c r="AY1" s="913" t="s">
        <v>256</v>
      </c>
      <c r="AZ1" s="913"/>
      <c r="BD1" s="349"/>
      <c r="BE1" s="80"/>
    </row>
    <row r="2" spans="1:183" ht="12" customHeight="1" thickBot="1">
      <c r="A2" s="76"/>
      <c r="B2" s="154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350"/>
      <c r="AQ2" s="190"/>
      <c r="AT2" s="80"/>
      <c r="AU2" s="80"/>
      <c r="AV2" s="895"/>
      <c r="AW2" s="895"/>
      <c r="AY2" s="913"/>
      <c r="AZ2" s="913"/>
    </row>
    <row r="3" spans="1:183" s="76" customFormat="1" ht="12" customHeight="1" thickBot="1">
      <c r="B3" s="156"/>
      <c r="C3" s="870" t="s">
        <v>254</v>
      </c>
      <c r="D3" s="871"/>
      <c r="E3" s="871"/>
      <c r="F3" s="871"/>
      <c r="G3" s="871"/>
      <c r="H3" s="871"/>
      <c r="I3" s="871"/>
      <c r="J3" s="871"/>
      <c r="K3" s="871"/>
      <c r="L3" s="871"/>
      <c r="M3" s="871"/>
      <c r="N3" s="871"/>
      <c r="O3" s="871"/>
      <c r="P3" s="871"/>
      <c r="Q3" s="871"/>
      <c r="R3" s="871"/>
      <c r="S3" s="871"/>
      <c r="T3" s="871"/>
      <c r="U3" s="871"/>
      <c r="V3" s="871"/>
      <c r="W3" s="871"/>
      <c r="X3" s="871"/>
      <c r="Y3" s="871"/>
      <c r="Z3" s="871"/>
      <c r="AA3" s="871"/>
      <c r="AB3" s="871"/>
      <c r="AC3" s="871"/>
      <c r="AD3" s="871"/>
      <c r="AE3" s="871"/>
      <c r="AF3" s="871"/>
      <c r="AG3" s="871"/>
      <c r="AH3" s="871"/>
      <c r="AI3" s="871"/>
      <c r="AJ3" s="871"/>
      <c r="AK3" s="871"/>
      <c r="AL3" s="871"/>
      <c r="AM3" s="871"/>
      <c r="AN3" s="871"/>
      <c r="AO3" s="872"/>
      <c r="AP3" s="351"/>
      <c r="AQ3" s="191"/>
      <c r="AR3" s="180"/>
      <c r="AS3" s="180"/>
      <c r="AT3" s="80"/>
      <c r="AU3" s="80"/>
      <c r="AV3" s="182" t="s">
        <v>74</v>
      </c>
      <c r="AW3" s="184" t="s">
        <v>249</v>
      </c>
      <c r="AX3" s="180"/>
      <c r="AY3" s="186" t="s">
        <v>251</v>
      </c>
      <c r="AZ3" s="188" t="s">
        <v>252</v>
      </c>
      <c r="BA3" s="202" t="s">
        <v>252</v>
      </c>
      <c r="BB3" s="202" t="s">
        <v>253</v>
      </c>
      <c r="BC3" s="181"/>
      <c r="BD3" s="6"/>
      <c r="BF3" s="6"/>
      <c r="BH3" s="6"/>
      <c r="BJ3" s="6"/>
      <c r="BL3" s="6"/>
      <c r="BM3" s="6"/>
      <c r="BN3" s="6"/>
      <c r="BS3" s="8"/>
      <c r="BU3" s="8"/>
      <c r="BV3" s="8"/>
      <c r="BW3" s="8"/>
      <c r="BX3" s="8"/>
      <c r="BY3" s="8"/>
      <c r="BZ3" s="8"/>
      <c r="CA3" s="8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</row>
    <row r="4" spans="1:183" s="76" customFormat="1" ht="12" customHeight="1">
      <c r="B4" s="156"/>
      <c r="C4" s="873"/>
      <c r="D4" s="788"/>
      <c r="E4" s="788"/>
      <c r="F4" s="788"/>
      <c r="G4" s="788"/>
      <c r="H4" s="788"/>
      <c r="I4" s="788"/>
      <c r="J4" s="788"/>
      <c r="K4" s="788"/>
      <c r="L4" s="788"/>
      <c r="M4" s="788"/>
      <c r="N4" s="788"/>
      <c r="O4" s="788"/>
      <c r="P4" s="788"/>
      <c r="Q4" s="788"/>
      <c r="R4" s="788"/>
      <c r="S4" s="788"/>
      <c r="T4" s="788"/>
      <c r="U4" s="788"/>
      <c r="V4" s="788"/>
      <c r="W4" s="788"/>
      <c r="X4" s="788"/>
      <c r="Y4" s="788"/>
      <c r="Z4" s="788"/>
      <c r="AA4" s="788"/>
      <c r="AB4" s="788"/>
      <c r="AC4" s="788"/>
      <c r="AD4" s="788"/>
      <c r="AE4" s="788"/>
      <c r="AF4" s="788"/>
      <c r="AG4" s="788"/>
      <c r="AH4" s="788"/>
      <c r="AI4" s="788"/>
      <c r="AJ4" s="788"/>
      <c r="AK4" s="788"/>
      <c r="AL4" s="788"/>
      <c r="AM4" s="788"/>
      <c r="AN4" s="788"/>
      <c r="AO4" s="874"/>
      <c r="AP4" s="351"/>
      <c r="AQ4" s="191"/>
      <c r="AR4" s="180"/>
      <c r="AS4" s="180"/>
      <c r="AT4" s="80"/>
      <c r="AU4" s="80"/>
      <c r="AV4" s="183">
        <v>0</v>
      </c>
      <c r="AW4" s="185">
        <f>AX4</f>
        <v>0.36000000000000004</v>
      </c>
      <c r="AX4" s="201">
        <f t="shared" ref="AX4:AX67" si="0">IF(AND(OR(AV4&gt;0,AV4=0),OR(AV4&lt;AQ$96,AV4=AQ$96)),(AQ$92*(0.4+(0.6*AV4/AQ$96))),IF(AND(AV4&gt;AQ$96,OR(AV4&lt;AQ$98,AV4=AQ$98)),AQ$92,IF(AND(AV4&gt;AQ$98,AV4&lt;AQ$100),(AQ$94/AV4),IF(OR(AV4&gt;AQ$100,AV4=AQ$100),(AQ$94*AQ$100/(AV4*AV4)),"Error"))))</f>
        <v>0.36000000000000004</v>
      </c>
      <c r="AY4" s="187">
        <v>0</v>
      </c>
      <c r="AZ4" s="189">
        <f>BA4</f>
        <v>0.52533276654533878</v>
      </c>
      <c r="BA4" s="202">
        <f t="shared" ref="BA4:BA67" si="1">IF(OR(AY4&lt;0.025,AY4=0.025),0.65*AI$179*(AJ$108/BB4),IF(AND(AY4&gt;0.025,OR(AY4&lt;0.05,AY4=0.05)),(16*AI$179*(AJ$108/BB4)*(AY4-0.025))+(0.65*AI$179*(AJ$108/BB4)),IF(AND(AY4&gt;0.05,OR(AY4&lt;0.1,AY4=0.1)),1.05*AI$179*AJ$108/BB4,IF(AND(AY4&gt;0.1,OR(AY4&lt;2,AY4=2)),MAX(0.5*AJ$108/BB4,(1.05*AI$179*AJ$108/BB4)*((0.1/AY4)^0.5)),IF(AY4&gt;2,0.5*AJ$108/BB4,"Error")))))</f>
        <v>0.52533276654533878</v>
      </c>
      <c r="BB4" s="202">
        <f>IF(OR(AY4&lt;0.2,AY4=0.2),1,IF(AND(AY4&gt;0.2,OR(AY4&lt;1,AY4=1)),(1+(0.375*(AY4-0.2))),IF(AND(AY4&gt;1,OR(AY4&lt;10,AY4=10)),1.3,"Error")))</f>
        <v>1</v>
      </c>
      <c r="BC4" s="181"/>
      <c r="BD4" s="6"/>
      <c r="BF4" s="6"/>
      <c r="BH4" s="6"/>
      <c r="BJ4" s="6"/>
      <c r="BL4" s="6"/>
      <c r="BM4" s="6"/>
      <c r="BN4" s="6"/>
      <c r="BS4" s="671" t="s">
        <v>135</v>
      </c>
      <c r="BT4" s="672"/>
      <c r="BU4" s="672"/>
      <c r="BV4" s="672"/>
      <c r="BW4" s="672"/>
      <c r="BX4" s="672"/>
      <c r="BY4" s="672"/>
      <c r="BZ4" s="672"/>
      <c r="CA4" s="673"/>
      <c r="CB4" s="643"/>
      <c r="CC4" s="203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</row>
    <row r="5" spans="1:183" s="76" customFormat="1" ht="12" customHeight="1" thickBot="1">
      <c r="B5" s="156"/>
      <c r="C5" s="875" t="s">
        <v>90</v>
      </c>
      <c r="D5" s="876"/>
      <c r="E5" s="876"/>
      <c r="F5" s="876"/>
      <c r="G5" s="876"/>
      <c r="H5" s="876"/>
      <c r="I5" s="876"/>
      <c r="J5" s="876"/>
      <c r="K5" s="876"/>
      <c r="L5" s="876"/>
      <c r="M5" s="876"/>
      <c r="N5" s="876"/>
      <c r="O5" s="876"/>
      <c r="P5" s="876"/>
      <c r="Q5" s="876"/>
      <c r="R5" s="876"/>
      <c r="S5" s="876"/>
      <c r="T5" s="876"/>
      <c r="U5" s="876"/>
      <c r="V5" s="876"/>
      <c r="W5" s="876"/>
      <c r="X5" s="876"/>
      <c r="Y5" s="876"/>
      <c r="Z5" s="876"/>
      <c r="AA5" s="876"/>
      <c r="AB5" s="876"/>
      <c r="AC5" s="876"/>
      <c r="AD5" s="876"/>
      <c r="AE5" s="876"/>
      <c r="AF5" s="876"/>
      <c r="AG5" s="876"/>
      <c r="AH5" s="876"/>
      <c r="AI5" s="876"/>
      <c r="AJ5" s="157"/>
      <c r="AK5" s="157"/>
      <c r="AL5" s="157"/>
      <c r="AM5" s="157"/>
      <c r="AN5" s="157"/>
      <c r="AO5" s="158"/>
      <c r="AP5" s="351"/>
      <c r="AQ5" s="191"/>
      <c r="AR5" s="180"/>
      <c r="AS5" s="180"/>
      <c r="AT5" s="80"/>
      <c r="AU5" s="80"/>
      <c r="AV5" s="183">
        <v>0.02</v>
      </c>
      <c r="AW5" s="185">
        <f t="shared" ref="AW5:AW68" si="2">AX5</f>
        <v>0.45346153846153847</v>
      </c>
      <c r="AX5" s="201">
        <f t="shared" si="0"/>
        <v>0.45346153846153847</v>
      </c>
      <c r="AY5" s="187">
        <v>0.01</v>
      </c>
      <c r="AZ5" s="189">
        <f t="shared" ref="AZ5:AZ68" si="3">BA5</f>
        <v>0.52533276654533878</v>
      </c>
      <c r="BA5" s="202">
        <f t="shared" si="1"/>
        <v>0.52533276654533878</v>
      </c>
      <c r="BB5" s="202">
        <f t="shared" ref="BB5:BB6" si="4">IF(OR(AY5&lt;0.2,AY5=0.2),1,IF(AND(AY5&gt;0.2,OR(AY5&lt;1,AY5=1)),(1+(0.375*(AY5-0.2))),IF(AND(AY5&gt;1,OR(AY5&lt;10,AY5=10)),1.3,"Error")))</f>
        <v>1</v>
      </c>
      <c r="BC5" s="181"/>
      <c r="BD5" s="6"/>
      <c r="BF5" s="6"/>
      <c r="BH5" s="6"/>
      <c r="BJ5" s="6"/>
      <c r="BL5" s="6"/>
      <c r="BM5" s="6"/>
      <c r="BN5" s="6"/>
      <c r="BO5" s="642"/>
      <c r="BS5" s="674"/>
      <c r="BT5" s="675"/>
      <c r="BU5" s="675"/>
      <c r="BV5" s="675"/>
      <c r="BW5" s="675"/>
      <c r="BX5" s="675"/>
      <c r="BY5" s="675"/>
      <c r="BZ5" s="675"/>
      <c r="CA5" s="819"/>
      <c r="CB5" s="643"/>
      <c r="CC5" s="203"/>
      <c r="CI5" s="76" t="s">
        <v>12</v>
      </c>
      <c r="CJ5" s="76" t="s">
        <v>224</v>
      </c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</row>
    <row r="6" spans="1:183" s="76" customFormat="1" ht="12" customHeight="1" thickBot="1">
      <c r="B6" s="156"/>
      <c r="C6" s="875"/>
      <c r="D6" s="876"/>
      <c r="E6" s="876"/>
      <c r="F6" s="876"/>
      <c r="G6" s="876"/>
      <c r="H6" s="876"/>
      <c r="I6" s="876"/>
      <c r="J6" s="876"/>
      <c r="K6" s="876"/>
      <c r="L6" s="876"/>
      <c r="M6" s="876"/>
      <c r="N6" s="876"/>
      <c r="O6" s="876"/>
      <c r="P6" s="876"/>
      <c r="Q6" s="876"/>
      <c r="R6" s="876"/>
      <c r="S6" s="876"/>
      <c r="T6" s="876"/>
      <c r="U6" s="876"/>
      <c r="V6" s="876"/>
      <c r="W6" s="876"/>
      <c r="X6" s="876"/>
      <c r="Y6" s="876"/>
      <c r="Z6" s="876"/>
      <c r="AA6" s="876"/>
      <c r="AB6" s="876"/>
      <c r="AC6" s="876"/>
      <c r="AD6" s="876"/>
      <c r="AE6" s="876"/>
      <c r="AF6" s="876"/>
      <c r="AG6" s="876"/>
      <c r="AH6" s="876"/>
      <c r="AI6" s="876"/>
      <c r="AJ6" s="157"/>
      <c r="AK6" s="157"/>
      <c r="AL6" s="157"/>
      <c r="AM6" s="157"/>
      <c r="AN6" s="157"/>
      <c r="AO6" s="158"/>
      <c r="AP6" s="351"/>
      <c r="AQ6" s="191"/>
      <c r="AR6" s="180"/>
      <c r="AS6" s="180"/>
      <c r="AT6" s="80"/>
      <c r="AU6" s="80"/>
      <c r="AV6" s="183">
        <v>0.04</v>
      </c>
      <c r="AW6" s="185">
        <f t="shared" si="2"/>
        <v>0.54692307692307696</v>
      </c>
      <c r="AX6" s="201">
        <f t="shared" si="0"/>
        <v>0.54692307692307696</v>
      </c>
      <c r="AY6" s="187">
        <v>0.02</v>
      </c>
      <c r="AZ6" s="189">
        <f t="shared" si="3"/>
        <v>0.52533276654533878</v>
      </c>
      <c r="BA6" s="202">
        <f t="shared" si="1"/>
        <v>0.52533276654533878</v>
      </c>
      <c r="BB6" s="202">
        <f t="shared" si="4"/>
        <v>1</v>
      </c>
      <c r="BC6" s="181"/>
      <c r="BD6" s="671" t="s">
        <v>119</v>
      </c>
      <c r="BE6" s="672"/>
      <c r="BF6" s="672"/>
      <c r="BG6" s="672"/>
      <c r="BH6" s="672"/>
      <c r="BI6" s="672"/>
      <c r="BJ6" s="672"/>
      <c r="BK6" s="672"/>
      <c r="BL6" s="672"/>
      <c r="BM6" s="672"/>
      <c r="BN6" s="673"/>
      <c r="BO6" s="642"/>
      <c r="BS6" s="644" t="s">
        <v>140</v>
      </c>
      <c r="BT6" s="822"/>
      <c r="BU6" s="820" t="s">
        <v>136</v>
      </c>
      <c r="BV6" s="820" t="s">
        <v>3</v>
      </c>
      <c r="BW6" s="820" t="s">
        <v>76</v>
      </c>
      <c r="BX6" s="820" t="s">
        <v>4</v>
      </c>
      <c r="BY6" s="820" t="s">
        <v>5</v>
      </c>
      <c r="BZ6" s="820"/>
      <c r="CA6" s="821"/>
      <c r="CB6" s="643"/>
      <c r="CC6" s="204"/>
      <c r="CD6" s="76" t="s">
        <v>6</v>
      </c>
      <c r="CF6" s="76" t="s">
        <v>133</v>
      </c>
      <c r="CG6" s="823" t="s">
        <v>206</v>
      </c>
      <c r="CH6" s="823" t="s">
        <v>207</v>
      </c>
      <c r="CI6" s="76" t="s">
        <v>208</v>
      </c>
      <c r="CJ6" s="76" t="s">
        <v>225</v>
      </c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</row>
    <row r="7" spans="1:183" s="76" customFormat="1" ht="12" customHeight="1">
      <c r="B7" s="156"/>
      <c r="C7" s="877" t="s">
        <v>238</v>
      </c>
      <c r="D7" s="878"/>
      <c r="E7" s="878"/>
      <c r="F7" s="878"/>
      <c r="G7" s="878"/>
      <c r="H7" s="878"/>
      <c r="I7" s="878"/>
      <c r="J7" s="878"/>
      <c r="K7" s="878"/>
      <c r="L7" s="878"/>
      <c r="M7" s="878"/>
      <c r="N7" s="878"/>
      <c r="O7" s="878"/>
      <c r="P7" s="878"/>
      <c r="Q7" s="878"/>
      <c r="R7" s="878"/>
      <c r="S7" s="878"/>
      <c r="T7" s="878"/>
      <c r="U7" s="878"/>
      <c r="V7" s="878"/>
      <c r="W7" s="878"/>
      <c r="X7" s="878"/>
      <c r="Y7" s="878"/>
      <c r="Z7" s="878"/>
      <c r="AA7" s="878"/>
      <c r="AB7" s="878"/>
      <c r="AC7" s="878"/>
      <c r="AD7" s="878"/>
      <c r="AE7" s="878"/>
      <c r="AF7" s="878"/>
      <c r="AG7" s="878"/>
      <c r="AH7" s="878"/>
      <c r="AI7" s="878"/>
      <c r="AJ7" s="157"/>
      <c r="AK7" s="157"/>
      <c r="AL7" s="157"/>
      <c r="AM7" s="157"/>
      <c r="AN7" s="157"/>
      <c r="AO7" s="158"/>
      <c r="AP7" s="351"/>
      <c r="AQ7" s="191"/>
      <c r="AR7" s="180"/>
      <c r="AS7" s="180"/>
      <c r="AT7" s="80"/>
      <c r="AU7" s="80"/>
      <c r="AV7" s="183">
        <v>0.06</v>
      </c>
      <c r="AW7" s="185">
        <f t="shared" si="2"/>
        <v>0.64038461538461533</v>
      </c>
      <c r="AX7" s="201">
        <f t="shared" si="0"/>
        <v>0.64038461538461533</v>
      </c>
      <c r="AY7" s="187">
        <v>0.03</v>
      </c>
      <c r="AZ7" s="189">
        <f t="shared" si="3"/>
        <v>0.5899891070432266</v>
      </c>
      <c r="BA7" s="202">
        <f t="shared" si="1"/>
        <v>0.5899891070432266</v>
      </c>
      <c r="BB7" s="202">
        <f>IF(OR(AY7&lt;0.2,AY7=0.2),1,IF(AND(AY7&gt;0.2,OR(AY7&lt;1,AY7=1)),(1+(0.375*(AY7-0.2))),IF(AND(AY7&gt;1,OR(AY7&lt;10,AY7=10)),1.3,"Error")))</f>
        <v>1</v>
      </c>
      <c r="BC7" s="181"/>
      <c r="BD7" s="674"/>
      <c r="BE7" s="675"/>
      <c r="BF7" s="675"/>
      <c r="BG7" s="675"/>
      <c r="BH7" s="675"/>
      <c r="BI7" s="675"/>
      <c r="BJ7" s="675"/>
      <c r="BK7" s="675"/>
      <c r="BL7" s="675"/>
      <c r="BM7" s="675"/>
      <c r="BN7" s="819"/>
      <c r="BO7" s="642"/>
      <c r="BS7" s="644"/>
      <c r="BT7" s="822"/>
      <c r="BU7" s="820"/>
      <c r="BV7" s="820"/>
      <c r="BW7" s="820"/>
      <c r="BX7" s="820"/>
      <c r="BY7" s="381" t="s">
        <v>137</v>
      </c>
      <c r="BZ7" s="381" t="s">
        <v>138</v>
      </c>
      <c r="CA7" s="387" t="s">
        <v>139</v>
      </c>
      <c r="CB7" s="643"/>
      <c r="CC7" s="204" t="s">
        <v>137</v>
      </c>
      <c r="CF7" s="76" t="s">
        <v>134</v>
      </c>
      <c r="CG7" s="823"/>
      <c r="CH7" s="823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</row>
    <row r="8" spans="1:183" s="76" customFormat="1" ht="12" customHeight="1">
      <c r="B8" s="159"/>
      <c r="C8" s="879"/>
      <c r="D8" s="880"/>
      <c r="E8" s="880"/>
      <c r="F8" s="880"/>
      <c r="G8" s="880"/>
      <c r="H8" s="880"/>
      <c r="I8" s="880"/>
      <c r="J8" s="880"/>
      <c r="K8" s="880"/>
      <c r="L8" s="880"/>
      <c r="M8" s="880"/>
      <c r="N8" s="880"/>
      <c r="O8" s="880"/>
      <c r="P8" s="880"/>
      <c r="Q8" s="880"/>
      <c r="R8" s="880"/>
      <c r="S8" s="880"/>
      <c r="T8" s="880"/>
      <c r="U8" s="880"/>
      <c r="V8" s="880"/>
      <c r="W8" s="880"/>
      <c r="X8" s="880"/>
      <c r="Y8" s="880"/>
      <c r="Z8" s="880"/>
      <c r="AA8" s="880"/>
      <c r="AB8" s="880"/>
      <c r="AC8" s="880"/>
      <c r="AD8" s="880"/>
      <c r="AE8" s="880"/>
      <c r="AF8" s="880"/>
      <c r="AG8" s="880"/>
      <c r="AH8" s="880"/>
      <c r="AI8" s="880"/>
      <c r="AJ8" s="157"/>
      <c r="AK8" s="157"/>
      <c r="AL8" s="157"/>
      <c r="AM8" s="157"/>
      <c r="AN8" s="157"/>
      <c r="AO8" s="158"/>
      <c r="AP8" s="351"/>
      <c r="AQ8" s="190"/>
      <c r="AR8" s="180"/>
      <c r="AS8" s="180"/>
      <c r="AT8" s="80"/>
      <c r="AU8" s="80"/>
      <c r="AV8" s="183">
        <v>0.08</v>
      </c>
      <c r="AW8" s="185">
        <f t="shared" si="2"/>
        <v>0.73384615384615381</v>
      </c>
      <c r="AX8" s="201">
        <f t="shared" si="0"/>
        <v>0.73384615384615381</v>
      </c>
      <c r="AY8" s="187">
        <v>0.04</v>
      </c>
      <c r="AZ8" s="189">
        <f t="shared" si="3"/>
        <v>0.71930178803900235</v>
      </c>
      <c r="BA8" s="202">
        <f t="shared" si="1"/>
        <v>0.71930178803900235</v>
      </c>
      <c r="BB8" s="202">
        <f t="shared" ref="BB8:BB71" si="5">IF(OR(AY8&lt;0.2,AY8=0.2),1,IF(AND(AY8&gt;0.2,OR(AY8&lt;1,AY8=1)),(1+(0.375*(AY8-0.2))),IF(AND(AY8&gt;1,OR(AY8&lt;10,AY8=10)),1.3,"Error")))</f>
        <v>1</v>
      </c>
      <c r="BC8" s="181"/>
      <c r="BD8" s="787" t="s">
        <v>120</v>
      </c>
      <c r="BE8" s="659"/>
      <c r="BF8" s="659"/>
      <c r="BG8" s="659"/>
      <c r="BH8" s="659"/>
      <c r="BI8" s="659"/>
      <c r="BJ8" s="659"/>
      <c r="BK8" s="659"/>
      <c r="BL8" s="659"/>
      <c r="BM8" s="657" t="s">
        <v>6</v>
      </c>
      <c r="BN8" s="658"/>
      <c r="BO8" s="642"/>
      <c r="BQ8" s="76" t="s">
        <v>7</v>
      </c>
      <c r="BR8" s="76" t="s">
        <v>8</v>
      </c>
      <c r="BS8" s="644" t="s">
        <v>147</v>
      </c>
      <c r="BT8" s="385">
        <v>1</v>
      </c>
      <c r="BU8" s="377" t="s">
        <v>164</v>
      </c>
      <c r="BV8" s="382">
        <v>7</v>
      </c>
      <c r="BW8" s="382">
        <v>2.5</v>
      </c>
      <c r="BX8" s="382">
        <v>7</v>
      </c>
      <c r="BY8" s="382">
        <v>50</v>
      </c>
      <c r="BZ8" s="382">
        <v>50</v>
      </c>
      <c r="CA8" s="388">
        <v>50</v>
      </c>
      <c r="CB8" s="643"/>
      <c r="CC8" s="204" t="s">
        <v>138</v>
      </c>
      <c r="CD8" s="76" t="s">
        <v>113</v>
      </c>
      <c r="CE8" s="76">
        <v>1</v>
      </c>
      <c r="CF8" s="76" t="str">
        <f>IF(Y19=CD8,CF6,"")</f>
        <v/>
      </c>
      <c r="CG8" s="76" t="s">
        <v>209</v>
      </c>
      <c r="CH8" s="76">
        <f>0.072*((AK36)^0.8)</f>
        <v>0.62835561988490307</v>
      </c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</row>
    <row r="9" spans="1:183" s="76" customFormat="1" ht="12" customHeight="1">
      <c r="B9" s="159"/>
      <c r="C9" s="881"/>
      <c r="D9" s="882"/>
      <c r="E9" s="885" t="s">
        <v>1</v>
      </c>
      <c r="F9" s="885"/>
      <c r="G9" s="885"/>
      <c r="H9" s="885"/>
      <c r="I9" s="885"/>
      <c r="J9" s="885"/>
      <c r="K9" s="885"/>
      <c r="L9" s="885"/>
      <c r="M9" s="885"/>
      <c r="N9" s="885"/>
      <c r="O9" s="885"/>
      <c r="P9" s="885"/>
      <c r="Q9" s="892" t="s">
        <v>83</v>
      </c>
      <c r="R9" s="892"/>
      <c r="S9" s="160"/>
      <c r="T9" s="160"/>
      <c r="U9" s="160"/>
      <c r="V9" s="160"/>
      <c r="W9" s="851" t="s">
        <v>85</v>
      </c>
      <c r="X9" s="851"/>
      <c r="Y9" s="851"/>
      <c r="Z9" s="851"/>
      <c r="AA9" s="851"/>
      <c r="AB9" s="851"/>
      <c r="AC9" s="851"/>
      <c r="AD9" s="853" t="s">
        <v>82</v>
      </c>
      <c r="AE9" s="853"/>
      <c r="AF9" s="160"/>
      <c r="AG9" s="160"/>
      <c r="AH9" s="160"/>
      <c r="AI9" s="160"/>
      <c r="AJ9" s="890" t="s">
        <v>108</v>
      </c>
      <c r="AK9" s="890"/>
      <c r="AL9" s="890"/>
      <c r="AM9" s="890"/>
      <c r="AN9" s="890"/>
      <c r="AO9" s="891"/>
      <c r="AP9" s="351"/>
      <c r="AQ9" s="190"/>
      <c r="AR9" s="180"/>
      <c r="AS9" s="180"/>
      <c r="AT9" s="80"/>
      <c r="AU9" s="80"/>
      <c r="AV9" s="183">
        <v>0.1</v>
      </c>
      <c r="AW9" s="185">
        <f t="shared" si="2"/>
        <v>0.8273076923076923</v>
      </c>
      <c r="AX9" s="201">
        <f t="shared" si="0"/>
        <v>0.8273076923076923</v>
      </c>
      <c r="AY9" s="187">
        <v>0.05</v>
      </c>
      <c r="AZ9" s="189">
        <f t="shared" si="3"/>
        <v>0.84861446903477811</v>
      </c>
      <c r="BA9" s="202">
        <f t="shared" si="1"/>
        <v>0.84861446903477811</v>
      </c>
      <c r="BB9" s="202">
        <f t="shared" si="5"/>
        <v>1</v>
      </c>
      <c r="BC9" s="181"/>
      <c r="BD9" s="787"/>
      <c r="BE9" s="659"/>
      <c r="BF9" s="659"/>
      <c r="BG9" s="659"/>
      <c r="BH9" s="659"/>
      <c r="BI9" s="659"/>
      <c r="BJ9" s="659"/>
      <c r="BK9" s="659"/>
      <c r="BL9" s="659"/>
      <c r="BM9" s="659"/>
      <c r="BN9" s="660"/>
      <c r="BO9" s="642"/>
      <c r="BQ9" s="76" t="s">
        <v>14</v>
      </c>
      <c r="BR9" s="76" t="s">
        <v>15</v>
      </c>
      <c r="BS9" s="644"/>
      <c r="BT9" s="384">
        <v>2</v>
      </c>
      <c r="BU9" s="377" t="s">
        <v>165</v>
      </c>
      <c r="BV9" s="382">
        <v>5</v>
      </c>
      <c r="BW9" s="382">
        <v>2.5</v>
      </c>
      <c r="BX9" s="382">
        <v>5</v>
      </c>
      <c r="BY9" s="382">
        <v>50</v>
      </c>
      <c r="BZ9" s="382">
        <v>50</v>
      </c>
      <c r="CA9" s="388">
        <v>50</v>
      </c>
      <c r="CB9" s="643"/>
      <c r="CC9" s="204" t="s">
        <v>139</v>
      </c>
      <c r="CD9" s="76" t="s">
        <v>114</v>
      </c>
      <c r="CE9" s="76">
        <v>2</v>
      </c>
      <c r="CF9" s="76" t="str">
        <f>IF(Y19=CD8,CF7,"")</f>
        <v/>
      </c>
      <c r="CG9" s="76" t="s">
        <v>203</v>
      </c>
      <c r="CH9" s="76">
        <f>0.047*((AK36)^0.9)</f>
        <v>0.53774947007678664</v>
      </c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</row>
    <row r="10" spans="1:183" s="76" customFormat="1" ht="12" customHeight="1" thickBot="1">
      <c r="B10" s="159"/>
      <c r="C10" s="883"/>
      <c r="D10" s="884"/>
      <c r="E10" s="610"/>
      <c r="F10" s="610"/>
      <c r="G10" s="610"/>
      <c r="H10" s="610"/>
      <c r="I10" s="610"/>
      <c r="J10" s="610"/>
      <c r="K10" s="610"/>
      <c r="L10" s="610"/>
      <c r="M10" s="610"/>
      <c r="N10" s="610"/>
      <c r="O10" s="610"/>
      <c r="P10" s="610"/>
      <c r="Q10" s="506"/>
      <c r="R10" s="506"/>
      <c r="S10" s="161"/>
      <c r="T10" s="161"/>
      <c r="U10" s="162"/>
      <c r="V10" s="22"/>
      <c r="W10" s="852"/>
      <c r="X10" s="852"/>
      <c r="Y10" s="852"/>
      <c r="Z10" s="852"/>
      <c r="AA10" s="852"/>
      <c r="AB10" s="852"/>
      <c r="AC10" s="852"/>
      <c r="AD10" s="631"/>
      <c r="AE10" s="631"/>
      <c r="AF10" s="163"/>
      <c r="AG10" s="163"/>
      <c r="AH10" s="164"/>
      <c r="AI10" s="164"/>
      <c r="AJ10" s="634"/>
      <c r="AK10" s="634"/>
      <c r="AL10" s="634"/>
      <c r="AM10" s="634"/>
      <c r="AN10" s="634"/>
      <c r="AO10" s="635"/>
      <c r="AP10" s="352"/>
      <c r="AQ10" s="179"/>
      <c r="AR10" s="180"/>
      <c r="AS10" s="180"/>
      <c r="AT10" s="80"/>
      <c r="AU10" s="80"/>
      <c r="AV10" s="183">
        <v>0.12</v>
      </c>
      <c r="AW10" s="185">
        <f t="shared" si="2"/>
        <v>0.9</v>
      </c>
      <c r="AX10" s="201">
        <f t="shared" si="0"/>
        <v>0.9</v>
      </c>
      <c r="AY10" s="187">
        <v>0.06</v>
      </c>
      <c r="AZ10" s="189">
        <f t="shared" si="3"/>
        <v>0.848614469034778</v>
      </c>
      <c r="BA10" s="202">
        <f t="shared" si="1"/>
        <v>0.848614469034778</v>
      </c>
      <c r="BB10" s="202">
        <f t="shared" si="5"/>
        <v>1</v>
      </c>
      <c r="BC10" s="181"/>
      <c r="BD10" s="854" t="s">
        <v>121</v>
      </c>
      <c r="BE10" s="647" t="s">
        <v>274</v>
      </c>
      <c r="BF10" s="665" t="s">
        <v>122</v>
      </c>
      <c r="BG10" s="647" t="s">
        <v>275</v>
      </c>
      <c r="BH10" s="665" t="s">
        <v>123</v>
      </c>
      <c r="BI10" s="647" t="s">
        <v>276</v>
      </c>
      <c r="BJ10" s="665" t="s">
        <v>124</v>
      </c>
      <c r="BK10" s="647" t="s">
        <v>277</v>
      </c>
      <c r="BL10" s="649" t="s">
        <v>125</v>
      </c>
      <c r="BM10" s="659"/>
      <c r="BN10" s="660"/>
      <c r="BO10" s="642"/>
      <c r="BQ10" s="76" t="s">
        <v>20</v>
      </c>
      <c r="BR10" s="76" t="s">
        <v>21</v>
      </c>
      <c r="BS10" s="644"/>
      <c r="BT10" s="384">
        <v>3</v>
      </c>
      <c r="BU10" s="377" t="s">
        <v>166</v>
      </c>
      <c r="BV10" s="382">
        <v>3.5</v>
      </c>
      <c r="BW10" s="382">
        <v>2.5</v>
      </c>
      <c r="BX10" s="382">
        <v>3.5</v>
      </c>
      <c r="BY10" s="382">
        <v>15</v>
      </c>
      <c r="BZ10" s="382">
        <v>10.5</v>
      </c>
      <c r="CA10" s="388" t="s">
        <v>193</v>
      </c>
      <c r="CB10" s="643"/>
      <c r="CC10" s="205" t="s">
        <v>193</v>
      </c>
      <c r="CD10" s="76" t="s">
        <v>115</v>
      </c>
      <c r="CE10" s="76">
        <v>3</v>
      </c>
      <c r="CG10" s="76" t="s">
        <v>204</v>
      </c>
      <c r="CH10" s="76">
        <f>0.073*((AK36)^0.75)</f>
        <v>0.55640535922930301</v>
      </c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</row>
    <row r="11" spans="1:183" s="76" customFormat="1" ht="12" customHeight="1" thickBot="1">
      <c r="B11" s="165"/>
      <c r="C11" s="166"/>
      <c r="D11" s="167"/>
      <c r="E11" s="167"/>
      <c r="F11" s="167"/>
      <c r="G11" s="167"/>
      <c r="H11" s="167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8"/>
      <c r="AK11" s="168"/>
      <c r="AL11" s="168"/>
      <c r="AM11" s="168"/>
      <c r="AN11" s="168"/>
      <c r="AO11" s="168"/>
      <c r="AP11" s="353"/>
      <c r="AQ11" s="192"/>
      <c r="AR11" s="180"/>
      <c r="AS11" s="180"/>
      <c r="AT11" s="80"/>
      <c r="AU11" s="80"/>
      <c r="AV11" s="183">
        <v>0.14000000000000001</v>
      </c>
      <c r="AW11" s="185">
        <f t="shared" si="2"/>
        <v>0.9</v>
      </c>
      <c r="AX11" s="201">
        <f t="shared" si="0"/>
        <v>0.9</v>
      </c>
      <c r="AY11" s="187">
        <v>7.0000000000000007E-2</v>
      </c>
      <c r="AZ11" s="189">
        <f t="shared" si="3"/>
        <v>0.848614469034778</v>
      </c>
      <c r="BA11" s="202">
        <f t="shared" si="1"/>
        <v>0.848614469034778</v>
      </c>
      <c r="BB11" s="202">
        <f t="shared" si="5"/>
        <v>1</v>
      </c>
      <c r="BC11" s="181"/>
      <c r="BD11" s="834"/>
      <c r="BE11" s="648"/>
      <c r="BF11" s="666"/>
      <c r="BG11" s="648"/>
      <c r="BH11" s="666"/>
      <c r="BI11" s="648"/>
      <c r="BJ11" s="666"/>
      <c r="BK11" s="648"/>
      <c r="BL11" s="650"/>
      <c r="BM11" s="659"/>
      <c r="BN11" s="660"/>
      <c r="BO11" s="642"/>
      <c r="BQ11" s="76" t="s">
        <v>27</v>
      </c>
      <c r="BR11" s="76" t="s">
        <v>28</v>
      </c>
      <c r="BS11" s="644"/>
      <c r="BT11" s="384">
        <v>4</v>
      </c>
      <c r="BU11" s="377" t="s">
        <v>167</v>
      </c>
      <c r="BV11" s="382">
        <v>4</v>
      </c>
      <c r="BW11" s="382">
        <v>2.5</v>
      </c>
      <c r="BX11" s="382">
        <v>3</v>
      </c>
      <c r="BY11" s="382">
        <v>15</v>
      </c>
      <c r="BZ11" s="382">
        <v>10.5</v>
      </c>
      <c r="CA11" s="388">
        <v>10.5</v>
      </c>
      <c r="CB11" s="643"/>
      <c r="CC11" s="205"/>
      <c r="CD11" s="76" t="s">
        <v>116</v>
      </c>
      <c r="CE11" s="76">
        <v>4</v>
      </c>
      <c r="CG11" s="76" t="s">
        <v>205</v>
      </c>
      <c r="CH11" s="76">
        <f>0.049*((AK36)^0.75)</f>
        <v>0.37347756989364184</v>
      </c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</row>
    <row r="12" spans="1:183" s="76" customFormat="1" ht="12" customHeight="1" thickBot="1">
      <c r="B12" s="8"/>
      <c r="C12" s="8"/>
      <c r="D12" s="75"/>
      <c r="E12" s="75"/>
      <c r="F12" s="75"/>
      <c r="G12" s="75"/>
      <c r="H12" s="75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106"/>
      <c r="AK12" s="106"/>
      <c r="AL12" s="106"/>
      <c r="AM12" s="106"/>
      <c r="AN12" s="106"/>
      <c r="AO12" s="106"/>
      <c r="AP12" s="354"/>
      <c r="AQ12" s="192"/>
      <c r="AR12" s="180"/>
      <c r="AS12" s="180"/>
      <c r="AT12" s="80"/>
      <c r="AU12" s="80"/>
      <c r="AV12" s="183">
        <v>0.16</v>
      </c>
      <c r="AW12" s="185">
        <f t="shared" si="2"/>
        <v>0.9</v>
      </c>
      <c r="AX12" s="201">
        <f t="shared" si="0"/>
        <v>0.9</v>
      </c>
      <c r="AY12" s="187">
        <v>0.08</v>
      </c>
      <c r="AZ12" s="189">
        <f t="shared" si="3"/>
        <v>0.848614469034778</v>
      </c>
      <c r="BA12" s="202">
        <f t="shared" si="1"/>
        <v>0.848614469034778</v>
      </c>
      <c r="BB12" s="202">
        <f t="shared" si="5"/>
        <v>1</v>
      </c>
      <c r="BC12" s="181"/>
      <c r="BD12" s="403">
        <v>0.5</v>
      </c>
      <c r="BE12" s="402"/>
      <c r="BF12" s="404">
        <v>0.75</v>
      </c>
      <c r="BG12" s="402"/>
      <c r="BH12" s="404">
        <v>1</v>
      </c>
      <c r="BI12" s="402"/>
      <c r="BJ12" s="404">
        <v>1.25</v>
      </c>
      <c r="BK12" s="402"/>
      <c r="BL12" s="405">
        <v>1.5</v>
      </c>
      <c r="BM12" s="659"/>
      <c r="BN12" s="660"/>
      <c r="BO12" s="642"/>
      <c r="BS12" s="644"/>
      <c r="BT12" s="384">
        <v>5</v>
      </c>
      <c r="BU12" s="377" t="s">
        <v>168</v>
      </c>
      <c r="BV12" s="382">
        <v>3.5</v>
      </c>
      <c r="BW12" s="382">
        <v>2</v>
      </c>
      <c r="BX12" s="382">
        <v>3.5</v>
      </c>
      <c r="BY12" s="382">
        <v>20</v>
      </c>
      <c r="BZ12" s="382">
        <v>10.5</v>
      </c>
      <c r="CA12" s="388" t="s">
        <v>193</v>
      </c>
      <c r="CB12" s="643"/>
      <c r="CC12" s="205"/>
      <c r="CD12" s="76" t="s">
        <v>117</v>
      </c>
      <c r="CE12" s="76">
        <v>5</v>
      </c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</row>
    <row r="13" spans="1:183" s="76" customFormat="1" ht="12" customHeight="1">
      <c r="B13" s="617" t="str">
        <f>C3</f>
        <v>محاسبه ضریب زلزله براساس آیین‌نامه استاندارد 2800 - پیش نویس ویرایش پنجم</v>
      </c>
      <c r="C13" s="618"/>
      <c r="D13" s="618"/>
      <c r="E13" s="618"/>
      <c r="F13" s="618"/>
      <c r="G13" s="618"/>
      <c r="H13" s="618"/>
      <c r="I13" s="618"/>
      <c r="J13" s="618"/>
      <c r="K13" s="618"/>
      <c r="L13" s="618"/>
      <c r="M13" s="618"/>
      <c r="N13" s="618"/>
      <c r="O13" s="618"/>
      <c r="P13" s="618"/>
      <c r="Q13" s="618"/>
      <c r="R13" s="618"/>
      <c r="S13" s="618"/>
      <c r="T13" s="618"/>
      <c r="U13" s="618"/>
      <c r="V13" s="618"/>
      <c r="W13" s="618"/>
      <c r="X13" s="618"/>
      <c r="Y13" s="618"/>
      <c r="Z13" s="618"/>
      <c r="AA13" s="618"/>
      <c r="AB13" s="618"/>
      <c r="AC13" s="618"/>
      <c r="AD13" s="618"/>
      <c r="AE13" s="618"/>
      <c r="AF13" s="618"/>
      <c r="AG13" s="618"/>
      <c r="AH13" s="618"/>
      <c r="AI13" s="618"/>
      <c r="AJ13" s="618"/>
      <c r="AK13" s="618"/>
      <c r="AL13" s="618"/>
      <c r="AM13" s="618"/>
      <c r="AN13" s="618"/>
      <c r="AO13" s="618"/>
      <c r="AP13" s="619"/>
      <c r="AQ13" s="192"/>
      <c r="AR13" s="180"/>
      <c r="AS13" s="180"/>
      <c r="AT13" s="80"/>
      <c r="AU13" s="80"/>
      <c r="AV13" s="183">
        <v>0.18</v>
      </c>
      <c r="AW13" s="185">
        <f t="shared" si="2"/>
        <v>0.9</v>
      </c>
      <c r="AX13" s="201">
        <f t="shared" si="0"/>
        <v>0.9</v>
      </c>
      <c r="AY13" s="187">
        <v>0.09</v>
      </c>
      <c r="AZ13" s="189">
        <f t="shared" si="3"/>
        <v>0.848614469034778</v>
      </c>
      <c r="BA13" s="202">
        <f t="shared" si="1"/>
        <v>0.848614469034778</v>
      </c>
      <c r="BB13" s="202">
        <f t="shared" si="5"/>
        <v>1</v>
      </c>
      <c r="BC13" s="181"/>
      <c r="BD13" s="392">
        <f>IF(AND(Y19=CD8,Y22=CF6),0.9,1)</f>
        <v>1</v>
      </c>
      <c r="BE13" s="393">
        <f>((AK$24-BD$12)*(BF13-BD13)/(BF$12-BD$12))+BD13</f>
        <v>1</v>
      </c>
      <c r="BF13" s="396">
        <f>IF(AND(Y19=CD8,Y22=CF6),0.9,1)</f>
        <v>1</v>
      </c>
      <c r="BG13" s="393">
        <f>((AK$24-BF$12)*(BH13-BF13)/(BH$12-BF$12))+BF13</f>
        <v>1</v>
      </c>
      <c r="BH13" s="396">
        <f>IF(AND(Y19=CD8,Y22=CF6),0.9,1)</f>
        <v>1</v>
      </c>
      <c r="BI13" s="393">
        <f>((AK$24-BH$12)*(BJ13-BH13)/(BJ$12-BH$12))+BH13</f>
        <v>1</v>
      </c>
      <c r="BJ13" s="396">
        <f>IF(AND(Y19=CD8,Y22=CF6),0.9,1)</f>
        <v>1</v>
      </c>
      <c r="BK13" s="393">
        <f>((AK$24-BJ$12)*(BL13-BJ13)/(BL$12-BJ$12))+BJ13</f>
        <v>1</v>
      </c>
      <c r="BL13" s="379">
        <f>IF(AND(Y19=CD8,Y22=CF6),0.9,1)</f>
        <v>1</v>
      </c>
      <c r="BM13" s="397" t="s">
        <v>113</v>
      </c>
      <c r="BN13" s="410">
        <v>1</v>
      </c>
      <c r="BO13" s="642"/>
      <c r="BS13" s="644"/>
      <c r="BT13" s="384">
        <v>6</v>
      </c>
      <c r="BU13" s="377" t="s">
        <v>169</v>
      </c>
      <c r="BV13" s="382">
        <v>5.5</v>
      </c>
      <c r="BW13" s="382">
        <v>3</v>
      </c>
      <c r="BX13" s="382">
        <v>4</v>
      </c>
      <c r="BY13" s="382">
        <v>20</v>
      </c>
      <c r="BZ13" s="382">
        <v>15</v>
      </c>
      <c r="CA13" s="388" t="s">
        <v>193</v>
      </c>
      <c r="CB13" s="643"/>
      <c r="CC13" s="205"/>
      <c r="CD13" s="76" t="s">
        <v>118</v>
      </c>
      <c r="CE13" s="76">
        <v>6</v>
      </c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</row>
    <row r="14" spans="1:183" s="76" customFormat="1" ht="12" customHeight="1" thickBot="1">
      <c r="B14" s="789"/>
      <c r="C14" s="788"/>
      <c r="D14" s="788"/>
      <c r="E14" s="788"/>
      <c r="F14" s="788"/>
      <c r="G14" s="788"/>
      <c r="H14" s="788"/>
      <c r="I14" s="788"/>
      <c r="J14" s="788"/>
      <c r="K14" s="788"/>
      <c r="L14" s="788"/>
      <c r="M14" s="788"/>
      <c r="N14" s="788"/>
      <c r="O14" s="788"/>
      <c r="P14" s="788"/>
      <c r="Q14" s="788"/>
      <c r="R14" s="788"/>
      <c r="S14" s="788"/>
      <c r="T14" s="788"/>
      <c r="U14" s="788"/>
      <c r="V14" s="788"/>
      <c r="W14" s="788"/>
      <c r="X14" s="788"/>
      <c r="Y14" s="788"/>
      <c r="Z14" s="788"/>
      <c r="AA14" s="788"/>
      <c r="AB14" s="788"/>
      <c r="AC14" s="788"/>
      <c r="AD14" s="788"/>
      <c r="AE14" s="788"/>
      <c r="AF14" s="788"/>
      <c r="AG14" s="788"/>
      <c r="AH14" s="788"/>
      <c r="AI14" s="788"/>
      <c r="AJ14" s="788"/>
      <c r="AK14" s="788"/>
      <c r="AL14" s="788"/>
      <c r="AM14" s="788"/>
      <c r="AN14" s="788"/>
      <c r="AO14" s="788"/>
      <c r="AP14" s="790"/>
      <c r="AQ14" s="192"/>
      <c r="AR14" s="180"/>
      <c r="AS14" s="180"/>
      <c r="AT14" s="80"/>
      <c r="AU14" s="80"/>
      <c r="AV14" s="183">
        <v>0.2</v>
      </c>
      <c r="AW14" s="185">
        <f t="shared" si="2"/>
        <v>0.9</v>
      </c>
      <c r="AX14" s="201">
        <f t="shared" si="0"/>
        <v>0.9</v>
      </c>
      <c r="AY14" s="187">
        <v>0.1</v>
      </c>
      <c r="AZ14" s="189">
        <f t="shared" si="3"/>
        <v>0.848614469034778</v>
      </c>
      <c r="BA14" s="202">
        <f t="shared" si="1"/>
        <v>0.848614469034778</v>
      </c>
      <c r="BB14" s="202">
        <f t="shared" si="5"/>
        <v>1</v>
      </c>
      <c r="BC14" s="181"/>
      <c r="BD14" s="392">
        <v>1.2</v>
      </c>
      <c r="BE14" s="393">
        <f>((AK$24-BD$12)*(BF14-BD14)/(BF$12-BD$12))+BD14</f>
        <v>1.2</v>
      </c>
      <c r="BF14" s="396">
        <v>1.2</v>
      </c>
      <c r="BG14" s="393">
        <f>((AK$24-BF$12)*(BH14-BF14)/(BH$12-BF$12))+BF14</f>
        <v>0.96000000000000019</v>
      </c>
      <c r="BH14" s="396">
        <v>1.1000000000000001</v>
      </c>
      <c r="BI14" s="393">
        <f>((AK$24-BH$12)*(BJ14-BH14)/(BJ$12-BH$12))+BH14</f>
        <v>0.96</v>
      </c>
      <c r="BJ14" s="396">
        <v>1</v>
      </c>
      <c r="BK14" s="393">
        <f>((AK$24-BJ$12)*(BL14-BJ14)/(BL$12-BJ$12))+BJ14</f>
        <v>1</v>
      </c>
      <c r="BL14" s="379">
        <v>1</v>
      </c>
      <c r="BM14" s="397" t="s">
        <v>114</v>
      </c>
      <c r="BN14" s="410">
        <v>2</v>
      </c>
      <c r="BO14" s="642"/>
      <c r="BS14" s="644"/>
      <c r="BT14" s="386">
        <v>7</v>
      </c>
      <c r="BU14" s="377" t="s">
        <v>170</v>
      </c>
      <c r="BV14" s="382">
        <v>3</v>
      </c>
      <c r="BW14" s="382">
        <v>2</v>
      </c>
      <c r="BX14" s="382">
        <v>3</v>
      </c>
      <c r="BY14" s="382">
        <v>15</v>
      </c>
      <c r="BZ14" s="382">
        <v>10.5</v>
      </c>
      <c r="CA14" s="388" t="s">
        <v>193</v>
      </c>
      <c r="CB14" s="643"/>
      <c r="CC14" s="205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</row>
    <row r="15" spans="1:183" s="76" customFormat="1" ht="12" customHeight="1">
      <c r="B15" s="493" t="s">
        <v>86</v>
      </c>
      <c r="C15" s="494"/>
      <c r="D15" s="494"/>
      <c r="E15" s="494"/>
      <c r="F15" s="494"/>
      <c r="G15" s="494"/>
      <c r="H15" s="494"/>
      <c r="I15" s="494"/>
      <c r="J15" s="494"/>
      <c r="K15" s="494"/>
      <c r="L15" s="494"/>
      <c r="M15" s="494"/>
      <c r="N15" s="494"/>
      <c r="O15" s="494"/>
      <c r="P15" s="494"/>
      <c r="Q15" s="494"/>
      <c r="R15" s="494"/>
      <c r="S15" s="494"/>
      <c r="T15" s="494"/>
      <c r="U15" s="494"/>
      <c r="V15" s="494"/>
      <c r="W15" s="494"/>
      <c r="X15" s="494"/>
      <c r="Y15" s="494"/>
      <c r="Z15" s="494"/>
      <c r="AA15" s="494"/>
      <c r="AB15" s="494"/>
      <c r="AC15" s="494"/>
      <c r="AD15" s="494"/>
      <c r="AE15" s="501"/>
      <c r="AF15" s="501"/>
      <c r="AG15" s="497" t="s">
        <v>87</v>
      </c>
      <c r="AH15" s="497"/>
      <c r="AI15" s="497"/>
      <c r="AJ15" s="497"/>
      <c r="AK15" s="497"/>
      <c r="AL15" s="497"/>
      <c r="AM15" s="497"/>
      <c r="AN15" s="497"/>
      <c r="AO15" s="497"/>
      <c r="AP15" s="498"/>
      <c r="AQ15" s="193"/>
      <c r="AR15" s="180"/>
      <c r="AS15" s="180"/>
      <c r="AT15" s="80"/>
      <c r="AU15" s="80"/>
      <c r="AV15" s="183">
        <v>0.22</v>
      </c>
      <c r="AW15" s="185">
        <f t="shared" si="2"/>
        <v>0.9</v>
      </c>
      <c r="AX15" s="201">
        <f t="shared" si="0"/>
        <v>0.9</v>
      </c>
      <c r="AY15" s="187">
        <v>0.11</v>
      </c>
      <c r="AZ15" s="189">
        <f t="shared" si="3"/>
        <v>0.80912214891717293</v>
      </c>
      <c r="BA15" s="202">
        <f t="shared" si="1"/>
        <v>0.80912214891717293</v>
      </c>
      <c r="BB15" s="202">
        <f t="shared" si="5"/>
        <v>1</v>
      </c>
      <c r="BC15" s="181"/>
      <c r="BD15" s="392">
        <v>1.3</v>
      </c>
      <c r="BE15" s="393">
        <f>((AK$24-BD$12)*(BF15-BD15)/(BF$12-BD$12))+BD15</f>
        <v>0.95999999999999974</v>
      </c>
      <c r="BF15" s="396">
        <v>1.2</v>
      </c>
      <c r="BG15" s="393">
        <f>((AK$24-BF$12)*(BH15-BF15)/(BH$12-BF$12))+BF15</f>
        <v>0.96000000000000019</v>
      </c>
      <c r="BH15" s="396">
        <v>1.1000000000000001</v>
      </c>
      <c r="BI15" s="393">
        <f>((AK$24-BH$12)*(BJ15-BH15)/(BJ$12-BH$12))+BH15</f>
        <v>0.96</v>
      </c>
      <c r="BJ15" s="396">
        <v>1</v>
      </c>
      <c r="BK15" s="393">
        <f>((AK$24-BJ$12)*(BL15-BJ15)/(BL$12-BJ$12))+BJ15</f>
        <v>1</v>
      </c>
      <c r="BL15" s="379">
        <v>1</v>
      </c>
      <c r="BM15" s="397" t="s">
        <v>115</v>
      </c>
      <c r="BN15" s="410">
        <v>3</v>
      </c>
      <c r="BO15" s="642"/>
      <c r="BS15" s="644" t="s">
        <v>148</v>
      </c>
      <c r="BT15" s="385">
        <v>8</v>
      </c>
      <c r="BU15" s="377" t="s">
        <v>171</v>
      </c>
      <c r="BV15" s="382">
        <v>7</v>
      </c>
      <c r="BW15" s="382">
        <v>2.5</v>
      </c>
      <c r="BX15" s="382">
        <v>7</v>
      </c>
      <c r="BY15" s="382">
        <v>50</v>
      </c>
      <c r="BZ15" s="382">
        <v>50</v>
      </c>
      <c r="CA15" s="388">
        <v>50</v>
      </c>
      <c r="CB15" s="643"/>
      <c r="CC15" s="205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</row>
    <row r="16" spans="1:183" s="76" customFormat="1" ht="12" customHeight="1">
      <c r="B16" s="893"/>
      <c r="C16" s="894"/>
      <c r="D16" s="894"/>
      <c r="E16" s="894"/>
      <c r="F16" s="894"/>
      <c r="G16" s="894"/>
      <c r="H16" s="894"/>
      <c r="I16" s="894"/>
      <c r="J16" s="894"/>
      <c r="K16" s="894"/>
      <c r="L16" s="894"/>
      <c r="M16" s="894"/>
      <c r="N16" s="894"/>
      <c r="O16" s="894"/>
      <c r="P16" s="894"/>
      <c r="Q16" s="894"/>
      <c r="R16" s="894"/>
      <c r="S16" s="894"/>
      <c r="T16" s="894"/>
      <c r="U16" s="894"/>
      <c r="V16" s="894"/>
      <c r="W16" s="894"/>
      <c r="X16" s="894"/>
      <c r="Y16" s="894"/>
      <c r="Z16" s="894"/>
      <c r="AA16" s="894"/>
      <c r="AB16" s="894"/>
      <c r="AC16" s="894"/>
      <c r="AD16" s="894"/>
      <c r="AE16" s="856"/>
      <c r="AF16" s="856"/>
      <c r="AG16" s="857"/>
      <c r="AH16" s="857"/>
      <c r="AI16" s="857"/>
      <c r="AJ16" s="857"/>
      <c r="AK16" s="857"/>
      <c r="AL16" s="857"/>
      <c r="AM16" s="857"/>
      <c r="AN16" s="857"/>
      <c r="AO16" s="857"/>
      <c r="AP16" s="858"/>
      <c r="AQ16" s="193"/>
      <c r="AR16" s="180"/>
      <c r="AS16" s="180"/>
      <c r="AT16" s="80"/>
      <c r="AU16" s="80"/>
      <c r="AV16" s="183">
        <v>0.24</v>
      </c>
      <c r="AW16" s="185">
        <f t="shared" si="2"/>
        <v>0.9</v>
      </c>
      <c r="AX16" s="201">
        <f t="shared" si="0"/>
        <v>0.9</v>
      </c>
      <c r="AY16" s="187">
        <v>0.12</v>
      </c>
      <c r="AZ16" s="189">
        <f t="shared" si="3"/>
        <v>0.77467547885936205</v>
      </c>
      <c r="BA16" s="202">
        <f t="shared" si="1"/>
        <v>0.77467547885936205</v>
      </c>
      <c r="BB16" s="202">
        <f t="shared" si="5"/>
        <v>1</v>
      </c>
      <c r="BC16" s="181"/>
      <c r="BD16" s="392">
        <v>1.6</v>
      </c>
      <c r="BE16" s="393">
        <f>((AK$24-BD$12)*(BF16-BD16)/(BF$12-BD$12))+BD16</f>
        <v>0.57999999999999985</v>
      </c>
      <c r="BF16" s="396">
        <v>1.3</v>
      </c>
      <c r="BG16" s="393">
        <f>((AK$24-BF$12)*(BH16-BF16)/(BH$12-BF$12))+BF16</f>
        <v>1.3</v>
      </c>
      <c r="BH16" s="396">
        <v>1.3</v>
      </c>
      <c r="BI16" s="393">
        <f>((AK$24-BH$12)*(BJ16-BH16)/(BJ$12-BH$12))+BH16</f>
        <v>1.02</v>
      </c>
      <c r="BJ16" s="396">
        <v>1.1000000000000001</v>
      </c>
      <c r="BK16" s="393">
        <f>((AK$24-BJ$12)*(BL16-BJ16)/(BL$12-BJ$12))+BJ16</f>
        <v>1.1000000000000001</v>
      </c>
      <c r="BL16" s="379">
        <v>1.1000000000000001</v>
      </c>
      <c r="BM16" s="397" t="s">
        <v>116</v>
      </c>
      <c r="BN16" s="410">
        <v>4</v>
      </c>
      <c r="BO16" s="642"/>
      <c r="BS16" s="644"/>
      <c r="BT16" s="384">
        <v>9</v>
      </c>
      <c r="BU16" s="377" t="s">
        <v>172</v>
      </c>
      <c r="BV16" s="382">
        <v>6</v>
      </c>
      <c r="BW16" s="382">
        <v>2.5</v>
      </c>
      <c r="BX16" s="382">
        <v>5</v>
      </c>
      <c r="BY16" s="382">
        <v>50</v>
      </c>
      <c r="BZ16" s="382">
        <v>50</v>
      </c>
      <c r="CA16" s="388">
        <v>50</v>
      </c>
      <c r="CB16" s="643"/>
      <c r="CC16" s="205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</row>
    <row r="17" spans="2:183" s="76" customFormat="1" ht="12" customHeight="1">
      <c r="B17" s="899" t="s">
        <v>110</v>
      </c>
      <c r="C17" s="829"/>
      <c r="D17" s="829" t="s">
        <v>111</v>
      </c>
      <c r="E17" s="829"/>
      <c r="F17" s="829"/>
      <c r="G17" s="829"/>
      <c r="H17" s="829"/>
      <c r="I17" s="829"/>
      <c r="J17" s="829"/>
      <c r="K17" s="829"/>
      <c r="L17" s="829"/>
      <c r="M17" s="829"/>
      <c r="N17" s="829"/>
      <c r="O17" s="829"/>
      <c r="P17" s="829"/>
      <c r="Q17" s="829"/>
      <c r="R17" s="829"/>
      <c r="S17" s="829"/>
      <c r="T17" s="829"/>
      <c r="U17" s="829"/>
      <c r="V17" s="829"/>
      <c r="W17" s="829"/>
      <c r="X17" s="829"/>
      <c r="Y17" s="829" t="s">
        <v>239</v>
      </c>
      <c r="Z17" s="829"/>
      <c r="AA17" s="829"/>
      <c r="AB17" s="829"/>
      <c r="AC17" s="829"/>
      <c r="AD17" s="829"/>
      <c r="AE17" s="829"/>
      <c r="AF17" s="829"/>
      <c r="AG17" s="829"/>
      <c r="AH17" s="829"/>
      <c r="AI17" s="829"/>
      <c r="AJ17" s="829"/>
      <c r="AK17" s="829"/>
      <c r="AL17" s="829"/>
      <c r="AM17" s="829"/>
      <c r="AN17" s="829"/>
      <c r="AO17" s="829"/>
      <c r="AP17" s="831"/>
      <c r="AQ17" s="193"/>
      <c r="AR17" s="180"/>
      <c r="AS17" s="180"/>
      <c r="AT17" s="80"/>
      <c r="AU17" s="80"/>
      <c r="AV17" s="183">
        <v>0.26</v>
      </c>
      <c r="AW17" s="185">
        <f t="shared" si="2"/>
        <v>0.9</v>
      </c>
      <c r="AX17" s="201">
        <f t="shared" si="0"/>
        <v>0.9</v>
      </c>
      <c r="AY17" s="187">
        <v>0.13</v>
      </c>
      <c r="AZ17" s="189">
        <f t="shared" si="3"/>
        <v>0.74428412536692867</v>
      </c>
      <c r="BA17" s="202">
        <f t="shared" si="1"/>
        <v>0.74428412536692867</v>
      </c>
      <c r="BB17" s="202">
        <f t="shared" si="5"/>
        <v>1</v>
      </c>
      <c r="BC17" s="181"/>
      <c r="BD17" s="392">
        <v>1.6</v>
      </c>
      <c r="BE17" s="393">
        <f>((AK$24-BD$12)*(BF17-BD17)/(BF$12-BD$12))+BD17</f>
        <v>0.91999999999999937</v>
      </c>
      <c r="BF17" s="396">
        <v>1.4</v>
      </c>
      <c r="BG17" s="393">
        <f>((AK$24-BF$12)*(BH17-BF17)/(BH$12-BF$12))+BF17</f>
        <v>1.4</v>
      </c>
      <c r="BH17" s="396">
        <v>1.4</v>
      </c>
      <c r="BI17" s="393">
        <f>((AK$24-BH$12)*(BJ17-BH17)/(BJ$12-BH$12))+BH17</f>
        <v>1.1199999999999999</v>
      </c>
      <c r="BJ17" s="396">
        <v>1.2</v>
      </c>
      <c r="BK17" s="393">
        <f>((AK$24-BJ$12)*(BL17-BJ17)/(BL$12-BJ$12))+BJ17</f>
        <v>1.2</v>
      </c>
      <c r="BL17" s="379">
        <v>1.2</v>
      </c>
      <c r="BM17" s="397" t="s">
        <v>117</v>
      </c>
      <c r="BN17" s="410">
        <v>5</v>
      </c>
      <c r="BO17" s="642"/>
      <c r="BS17" s="644"/>
      <c r="BT17" s="384">
        <v>10</v>
      </c>
      <c r="BU17" s="377" t="s">
        <v>173</v>
      </c>
      <c r="BV17" s="382">
        <v>4</v>
      </c>
      <c r="BW17" s="382">
        <v>2.5</v>
      </c>
      <c r="BX17" s="382">
        <v>3.5</v>
      </c>
      <c r="BY17" s="382">
        <v>15</v>
      </c>
      <c r="BZ17" s="382" t="s">
        <v>193</v>
      </c>
      <c r="CA17" s="388" t="s">
        <v>193</v>
      </c>
      <c r="CB17" s="643"/>
      <c r="CC17" s="205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</row>
    <row r="18" spans="2:183" s="76" customFormat="1" ht="12" customHeight="1" thickBot="1">
      <c r="B18" s="900"/>
      <c r="C18" s="830"/>
      <c r="D18" s="830"/>
      <c r="E18" s="830"/>
      <c r="F18" s="830"/>
      <c r="G18" s="830"/>
      <c r="H18" s="830"/>
      <c r="I18" s="830"/>
      <c r="J18" s="830"/>
      <c r="K18" s="830"/>
      <c r="L18" s="830"/>
      <c r="M18" s="830"/>
      <c r="N18" s="830"/>
      <c r="O18" s="830"/>
      <c r="P18" s="830"/>
      <c r="Q18" s="830"/>
      <c r="R18" s="830"/>
      <c r="S18" s="830"/>
      <c r="T18" s="830"/>
      <c r="U18" s="830"/>
      <c r="V18" s="830"/>
      <c r="W18" s="830"/>
      <c r="X18" s="830"/>
      <c r="Y18" s="830"/>
      <c r="Z18" s="830"/>
      <c r="AA18" s="830"/>
      <c r="AB18" s="830"/>
      <c r="AC18" s="830"/>
      <c r="AD18" s="830"/>
      <c r="AE18" s="830"/>
      <c r="AF18" s="830"/>
      <c r="AG18" s="830"/>
      <c r="AH18" s="830"/>
      <c r="AI18" s="830"/>
      <c r="AJ18" s="830"/>
      <c r="AK18" s="830"/>
      <c r="AL18" s="830"/>
      <c r="AM18" s="830"/>
      <c r="AN18" s="830"/>
      <c r="AO18" s="830"/>
      <c r="AP18" s="832"/>
      <c r="AQ18" s="193"/>
      <c r="AR18" s="180"/>
      <c r="AS18" s="180"/>
      <c r="AT18" s="80"/>
      <c r="AU18" s="80"/>
      <c r="AV18" s="183">
        <v>0.28000000000000003</v>
      </c>
      <c r="AW18" s="185">
        <f t="shared" si="2"/>
        <v>0.9</v>
      </c>
      <c r="AX18" s="201">
        <f t="shared" si="0"/>
        <v>0.9</v>
      </c>
      <c r="AY18" s="187">
        <v>0.14000000000000001</v>
      </c>
      <c r="AZ18" s="189">
        <f t="shared" si="3"/>
        <v>0.71721012912892357</v>
      </c>
      <c r="BA18" s="202">
        <f t="shared" si="1"/>
        <v>0.71721012912892357</v>
      </c>
      <c r="BB18" s="202">
        <f t="shared" si="5"/>
        <v>1</v>
      </c>
      <c r="BC18" s="181"/>
      <c r="BD18" s="394" t="s">
        <v>126</v>
      </c>
      <c r="BE18" s="398" t="s">
        <v>126</v>
      </c>
      <c r="BF18" s="399" t="s">
        <v>126</v>
      </c>
      <c r="BG18" s="398" t="s">
        <v>126</v>
      </c>
      <c r="BH18" s="399" t="s">
        <v>126</v>
      </c>
      <c r="BI18" s="398" t="s">
        <v>126</v>
      </c>
      <c r="BJ18" s="399" t="s">
        <v>126</v>
      </c>
      <c r="BK18" s="398" t="s">
        <v>126</v>
      </c>
      <c r="BL18" s="378" t="s">
        <v>126</v>
      </c>
      <c r="BM18" s="399" t="s">
        <v>118</v>
      </c>
      <c r="BN18" s="411">
        <v>6</v>
      </c>
      <c r="BO18" s="642"/>
      <c r="BS18" s="644"/>
      <c r="BT18" s="384">
        <v>11</v>
      </c>
      <c r="BU18" s="377" t="s">
        <v>174</v>
      </c>
      <c r="BV18" s="382">
        <v>4</v>
      </c>
      <c r="BW18" s="382">
        <v>2.5</v>
      </c>
      <c r="BX18" s="382">
        <v>3</v>
      </c>
      <c r="BY18" s="382">
        <v>15</v>
      </c>
      <c r="BZ18" s="382">
        <v>10.5</v>
      </c>
      <c r="CA18" s="388">
        <v>10.5</v>
      </c>
      <c r="CB18" s="643"/>
      <c r="CC18" s="205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</row>
    <row r="19" spans="2:183" s="76" customFormat="1" ht="12" customHeight="1">
      <c r="B19" s="743">
        <v>1</v>
      </c>
      <c r="C19" s="744"/>
      <c r="D19" s="808" t="s">
        <v>143</v>
      </c>
      <c r="E19" s="808"/>
      <c r="F19" s="808"/>
      <c r="G19" s="808"/>
      <c r="H19" s="808"/>
      <c r="I19" s="808"/>
      <c r="J19" s="808"/>
      <c r="K19" s="808"/>
      <c r="L19" s="808"/>
      <c r="M19" s="808"/>
      <c r="N19" s="808"/>
      <c r="O19" s="808"/>
      <c r="P19" s="808"/>
      <c r="Q19" s="808"/>
      <c r="R19" s="808"/>
      <c r="S19" s="808"/>
      <c r="T19" s="808"/>
      <c r="U19" s="808"/>
      <c r="V19" s="808"/>
      <c r="W19" s="808"/>
      <c r="X19" s="808"/>
      <c r="Y19" s="904" t="s">
        <v>114</v>
      </c>
      <c r="Z19" s="904"/>
      <c r="AA19" s="904"/>
      <c r="AB19" s="904"/>
      <c r="AC19" s="904"/>
      <c r="AD19" s="904"/>
      <c r="AE19" s="904"/>
      <c r="AF19" s="904"/>
      <c r="AG19" s="904"/>
      <c r="AH19" s="904"/>
      <c r="AI19" s="904"/>
      <c r="AJ19" s="904"/>
      <c r="AK19" s="904"/>
      <c r="AL19" s="904"/>
      <c r="AM19" s="904"/>
      <c r="AN19" s="904"/>
      <c r="AO19" s="904"/>
      <c r="AP19" s="905"/>
      <c r="AQ19" s="735">
        <f>IF(Y19=CD8,1,IF(Y19=CD9,2,IF(Y19=CD10,3,IF(Y19=CD11,4,IF(Y19=CD12,5,IF(Y19=CD13,6,"Error"))))))</f>
        <v>2</v>
      </c>
      <c r="AR19" s="180"/>
      <c r="AS19" s="180"/>
      <c r="AT19" s="80"/>
      <c r="AU19" s="80"/>
      <c r="AV19" s="183">
        <v>0.3</v>
      </c>
      <c r="AW19" s="185">
        <f t="shared" si="2"/>
        <v>0.9</v>
      </c>
      <c r="AX19" s="201">
        <f t="shared" si="0"/>
        <v>0.9</v>
      </c>
      <c r="AY19" s="187">
        <v>0.15</v>
      </c>
      <c r="AZ19" s="189">
        <f t="shared" si="3"/>
        <v>0.69289081249269391</v>
      </c>
      <c r="BA19" s="202">
        <f t="shared" si="1"/>
        <v>0.69289081249269391</v>
      </c>
      <c r="BB19" s="202">
        <f t="shared" si="5"/>
        <v>1</v>
      </c>
      <c r="BC19" s="181"/>
      <c r="BD19" s="349"/>
      <c r="BE19" s="349"/>
      <c r="BF19" s="349"/>
      <c r="BG19" s="349"/>
      <c r="BH19" s="349"/>
      <c r="BI19" s="349"/>
      <c r="BJ19" s="349"/>
      <c r="BK19" s="349"/>
      <c r="BL19" s="349"/>
      <c r="BM19" s="349"/>
      <c r="BN19" s="349"/>
      <c r="BO19" s="642"/>
      <c r="BS19" s="644"/>
      <c r="BT19" s="384">
        <v>12</v>
      </c>
      <c r="BU19" s="377" t="s">
        <v>175</v>
      </c>
      <c r="BV19" s="382">
        <v>6</v>
      </c>
      <c r="BW19" s="382">
        <v>2</v>
      </c>
      <c r="BX19" s="382">
        <v>5</v>
      </c>
      <c r="BY19" s="382">
        <v>50</v>
      </c>
      <c r="BZ19" s="382">
        <v>50</v>
      </c>
      <c r="CA19" s="388">
        <v>50</v>
      </c>
      <c r="CB19" s="643"/>
      <c r="CC19" s="205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</row>
    <row r="20" spans="2:183" s="76" customFormat="1" ht="12" customHeight="1">
      <c r="B20" s="747"/>
      <c r="C20" s="748"/>
      <c r="D20" s="809"/>
      <c r="E20" s="809"/>
      <c r="F20" s="809"/>
      <c r="G20" s="809"/>
      <c r="H20" s="809"/>
      <c r="I20" s="809"/>
      <c r="J20" s="809"/>
      <c r="K20" s="809"/>
      <c r="L20" s="809"/>
      <c r="M20" s="809"/>
      <c r="N20" s="809"/>
      <c r="O20" s="809"/>
      <c r="P20" s="809"/>
      <c r="Q20" s="809"/>
      <c r="R20" s="809"/>
      <c r="S20" s="809"/>
      <c r="T20" s="809"/>
      <c r="U20" s="809"/>
      <c r="V20" s="809"/>
      <c r="W20" s="809"/>
      <c r="X20" s="809"/>
      <c r="Y20" s="906"/>
      <c r="Z20" s="906"/>
      <c r="AA20" s="906"/>
      <c r="AB20" s="906"/>
      <c r="AC20" s="906"/>
      <c r="AD20" s="906"/>
      <c r="AE20" s="906"/>
      <c r="AF20" s="906"/>
      <c r="AG20" s="906"/>
      <c r="AH20" s="906"/>
      <c r="AI20" s="906"/>
      <c r="AJ20" s="906"/>
      <c r="AK20" s="906"/>
      <c r="AL20" s="906"/>
      <c r="AM20" s="906"/>
      <c r="AN20" s="906"/>
      <c r="AO20" s="906"/>
      <c r="AP20" s="907"/>
      <c r="AQ20" s="735"/>
      <c r="AR20" s="180"/>
      <c r="AS20" s="180"/>
      <c r="AT20" s="80"/>
      <c r="AU20" s="80"/>
      <c r="AV20" s="183">
        <v>0.32</v>
      </c>
      <c r="AW20" s="185">
        <f t="shared" si="2"/>
        <v>0.9</v>
      </c>
      <c r="AX20" s="201">
        <f t="shared" si="0"/>
        <v>0.9</v>
      </c>
      <c r="AY20" s="187">
        <v>0.16</v>
      </c>
      <c r="AZ20" s="189">
        <f t="shared" si="3"/>
        <v>0.67088864438108242</v>
      </c>
      <c r="BA20" s="202">
        <f t="shared" si="1"/>
        <v>0.67088864438108242</v>
      </c>
      <c r="BB20" s="202">
        <f t="shared" si="5"/>
        <v>1</v>
      </c>
      <c r="BC20" s="181"/>
      <c r="BD20" s="349"/>
      <c r="BE20" s="349"/>
      <c r="BF20" s="349"/>
      <c r="BG20" s="349"/>
      <c r="BH20" s="349"/>
      <c r="BI20" s="349"/>
      <c r="BJ20" s="349"/>
      <c r="BK20" s="349"/>
      <c r="BL20" s="349"/>
      <c r="BM20" s="349"/>
      <c r="BN20" s="349"/>
      <c r="BS20" s="644"/>
      <c r="BT20" s="384">
        <v>13</v>
      </c>
      <c r="BU20" s="377" t="s">
        <v>176</v>
      </c>
      <c r="BV20" s="382">
        <v>3.5</v>
      </c>
      <c r="BW20" s="382">
        <v>2</v>
      </c>
      <c r="BX20" s="382">
        <v>3.5</v>
      </c>
      <c r="BY20" s="382">
        <v>15</v>
      </c>
      <c r="BZ20" s="382">
        <v>10.5</v>
      </c>
      <c r="CA20" s="388" t="s">
        <v>193</v>
      </c>
      <c r="CB20" s="643"/>
      <c r="CC20" s="205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</row>
    <row r="21" spans="2:183" s="76" customFormat="1" ht="12" customHeight="1">
      <c r="B21" s="743" t="str">
        <f>IF(OR(AQ19=6,AQ19=1,AND(OR(Y28=BR8,Y28=BR9),AK26&gt;0.45,OR(AQ19=3,AQ19=4,AQ19=5))),"2","")</f>
        <v/>
      </c>
      <c r="C21" s="744"/>
      <c r="D21" s="901" t="str">
        <f>IF(AQ19=1," آیا برای ساختگاه مورد نظر  شرایط اعمال ضریب ۰.۹ جهت Fs رعایت شده است.",IF(OR(AQ19=6,AND(OR(Y28=BR8,Y28=BR9),AK26&gt;0.45,OR(AQ19=3,AQ19=4,AQ19=4))),"ضرایب تاثیر نوع ساختگاه در بازه زمان تناوب کوتاه، یک ثانیه‌ و ضریب اصلاح شتاب بیشینه در سنگ بستر را براساس طیف ویژه وارد کنید",""))</f>
        <v/>
      </c>
      <c r="E21" s="901"/>
      <c r="F21" s="901"/>
      <c r="G21" s="901"/>
      <c r="H21" s="901"/>
      <c r="I21" s="901"/>
      <c r="J21" s="901"/>
      <c r="K21" s="901"/>
      <c r="L21" s="901"/>
      <c r="M21" s="901"/>
      <c r="N21" s="901"/>
      <c r="O21" s="901"/>
      <c r="P21" s="901"/>
      <c r="Q21" s="901"/>
      <c r="R21" s="901"/>
      <c r="S21" s="901"/>
      <c r="T21" s="901"/>
      <c r="U21" s="901"/>
      <c r="V21" s="901"/>
      <c r="W21" s="901"/>
      <c r="X21" s="901"/>
      <c r="Y21" s="816" t="str">
        <f>IF(AQ19=1,"انتخاب کنید  ↓ ","")</f>
        <v/>
      </c>
      <c r="Z21" s="816"/>
      <c r="AA21" s="816"/>
      <c r="AB21" s="816"/>
      <c r="AC21" s="817" t="str">
        <f>IF(OR(AQ19=6,AND(OR(Y28=BR8,Y28=BR9),AK26&gt;0.45,OR(AQ19=3,AQ19=4,AQ19=5))),"↓    اعداد را وارد کنید    ↓ ","")</f>
        <v/>
      </c>
      <c r="AD21" s="817"/>
      <c r="AE21" s="817"/>
      <c r="AF21" s="817"/>
      <c r="AG21" s="817"/>
      <c r="AH21" s="817"/>
      <c r="AI21" s="817"/>
      <c r="AJ21" s="817"/>
      <c r="AK21" s="817"/>
      <c r="AL21" s="817"/>
      <c r="AM21" s="817"/>
      <c r="AN21" s="817"/>
      <c r="AO21" s="817"/>
      <c r="AP21" s="818"/>
      <c r="AQ21" s="179"/>
      <c r="AR21" s="180"/>
      <c r="AS21" s="180"/>
      <c r="AT21" s="80"/>
      <c r="AU21" s="80"/>
      <c r="AV21" s="183">
        <v>0.34</v>
      </c>
      <c r="AW21" s="185">
        <f t="shared" si="2"/>
        <v>0.9</v>
      </c>
      <c r="AX21" s="201">
        <f t="shared" si="0"/>
        <v>0.9</v>
      </c>
      <c r="AY21" s="187">
        <v>0.17</v>
      </c>
      <c r="AZ21" s="189">
        <f t="shared" si="3"/>
        <v>0.65085758677897565</v>
      </c>
      <c r="BA21" s="202">
        <f t="shared" si="1"/>
        <v>0.65085758677897565</v>
      </c>
      <c r="BB21" s="202">
        <f t="shared" si="5"/>
        <v>1</v>
      </c>
      <c r="BC21" s="181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S21" s="644"/>
      <c r="BT21" s="384">
        <v>14</v>
      </c>
      <c r="BU21" s="377" t="s">
        <v>177</v>
      </c>
      <c r="BV21" s="382">
        <v>7</v>
      </c>
      <c r="BW21" s="382">
        <v>2</v>
      </c>
      <c r="BX21" s="382">
        <v>4</v>
      </c>
      <c r="BY21" s="382">
        <v>50</v>
      </c>
      <c r="BZ21" s="382">
        <v>50</v>
      </c>
      <c r="CA21" s="388">
        <v>50</v>
      </c>
      <c r="CB21" s="643"/>
      <c r="CC21" s="205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</row>
    <row r="22" spans="2:183" s="76" customFormat="1" ht="12" customHeight="1">
      <c r="B22" s="745"/>
      <c r="C22" s="746"/>
      <c r="D22" s="902"/>
      <c r="E22" s="902"/>
      <c r="F22" s="902"/>
      <c r="G22" s="902"/>
      <c r="H22" s="902"/>
      <c r="I22" s="902"/>
      <c r="J22" s="902"/>
      <c r="K22" s="902"/>
      <c r="L22" s="902"/>
      <c r="M22" s="902"/>
      <c r="N22" s="902"/>
      <c r="O22" s="902"/>
      <c r="P22" s="902"/>
      <c r="Q22" s="902"/>
      <c r="R22" s="902"/>
      <c r="S22" s="902"/>
      <c r="T22" s="902"/>
      <c r="U22" s="902"/>
      <c r="V22" s="902"/>
      <c r="W22" s="902"/>
      <c r="X22" s="902"/>
      <c r="Y22" s="930" t="s">
        <v>201</v>
      </c>
      <c r="Z22" s="930"/>
      <c r="AA22" s="930"/>
      <c r="AB22" s="930"/>
      <c r="AC22" s="888"/>
      <c r="AD22" s="888"/>
      <c r="AE22" s="886" t="str">
        <f>IF(AQ19=6,"F(PGA) =","")</f>
        <v/>
      </c>
      <c r="AF22" s="886"/>
      <c r="AG22" s="886"/>
      <c r="AH22" s="886"/>
      <c r="AI22" s="888">
        <v>2</v>
      </c>
      <c r="AJ22" s="888"/>
      <c r="AK22" s="886" t="str">
        <f>IF(OR(AQ19=6,AND(OR(Y28=BR8,Y28=BR9),AK26&gt;0.45,OR(AQ19=3,AQ19=4,AQ19=5))),"F1 =","")</f>
        <v/>
      </c>
      <c r="AL22" s="886"/>
      <c r="AM22" s="888">
        <v>1</v>
      </c>
      <c r="AN22" s="888"/>
      <c r="AO22" s="886" t="str">
        <f>IF(OR(AQ19=6,AND(OR(Y28=BR8,Y28=BR9),AK26&gt;0.45,OR(AQ19=3,AQ19=4,AQ19=5))),"Fs =","")</f>
        <v/>
      </c>
      <c r="AP22" s="887"/>
      <c r="AQ22" s="179"/>
      <c r="AR22" s="180"/>
      <c r="AS22" s="180"/>
      <c r="AT22" s="80"/>
      <c r="AU22" s="80"/>
      <c r="AV22" s="183">
        <v>0.36</v>
      </c>
      <c r="AW22" s="185">
        <f t="shared" si="2"/>
        <v>0.9</v>
      </c>
      <c r="AX22" s="201">
        <f t="shared" si="0"/>
        <v>0.9</v>
      </c>
      <c r="AY22" s="187">
        <v>0.18</v>
      </c>
      <c r="AZ22" s="189">
        <f t="shared" si="3"/>
        <v>0.63251987981721802</v>
      </c>
      <c r="BA22" s="202">
        <f t="shared" si="1"/>
        <v>0.63251987981721802</v>
      </c>
      <c r="BB22" s="202">
        <f t="shared" si="5"/>
        <v>1</v>
      </c>
      <c r="BC22" s="181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S22" s="644"/>
      <c r="BT22" s="384">
        <v>15</v>
      </c>
      <c r="BU22" s="377" t="s">
        <v>178</v>
      </c>
      <c r="BV22" s="382">
        <v>6</v>
      </c>
      <c r="BW22" s="382">
        <v>2</v>
      </c>
      <c r="BX22" s="382">
        <v>4</v>
      </c>
      <c r="BY22" s="382">
        <v>50</v>
      </c>
      <c r="BZ22" s="382">
        <v>50</v>
      </c>
      <c r="CA22" s="388">
        <v>40</v>
      </c>
      <c r="CB22" s="643"/>
      <c r="CC22" s="205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</row>
    <row r="23" spans="2:183" s="76" customFormat="1" ht="12" customHeight="1">
      <c r="B23" s="747"/>
      <c r="C23" s="748"/>
      <c r="D23" s="903"/>
      <c r="E23" s="903"/>
      <c r="F23" s="903"/>
      <c r="G23" s="903"/>
      <c r="H23" s="903"/>
      <c r="I23" s="903"/>
      <c r="J23" s="903"/>
      <c r="K23" s="903"/>
      <c r="L23" s="903"/>
      <c r="M23" s="903"/>
      <c r="N23" s="903"/>
      <c r="O23" s="903"/>
      <c r="P23" s="903"/>
      <c r="Q23" s="903"/>
      <c r="R23" s="903"/>
      <c r="S23" s="903"/>
      <c r="T23" s="903"/>
      <c r="U23" s="903"/>
      <c r="V23" s="903"/>
      <c r="W23" s="903"/>
      <c r="X23" s="903"/>
      <c r="Y23" s="906"/>
      <c r="Z23" s="906"/>
      <c r="AA23" s="906"/>
      <c r="AB23" s="906"/>
      <c r="AC23" s="889"/>
      <c r="AD23" s="889"/>
      <c r="AE23" s="793"/>
      <c r="AF23" s="793"/>
      <c r="AG23" s="793"/>
      <c r="AH23" s="793"/>
      <c r="AI23" s="889"/>
      <c r="AJ23" s="889"/>
      <c r="AK23" s="793"/>
      <c r="AL23" s="793"/>
      <c r="AM23" s="889"/>
      <c r="AN23" s="889"/>
      <c r="AO23" s="793"/>
      <c r="AP23" s="794"/>
      <c r="AQ23" s="179"/>
      <c r="AR23" s="180"/>
      <c r="AS23" s="180"/>
      <c r="AT23" s="80"/>
      <c r="AU23" s="80"/>
      <c r="AV23" s="183">
        <v>0.38</v>
      </c>
      <c r="AW23" s="185">
        <f t="shared" si="2"/>
        <v>0.9</v>
      </c>
      <c r="AX23" s="201">
        <f t="shared" si="0"/>
        <v>0.9</v>
      </c>
      <c r="AY23" s="187">
        <v>0.19</v>
      </c>
      <c r="AZ23" s="189">
        <f t="shared" si="3"/>
        <v>0.61564964278444934</v>
      </c>
      <c r="BA23" s="202">
        <f t="shared" si="1"/>
        <v>0.61564964278444934</v>
      </c>
      <c r="BB23" s="202">
        <f t="shared" si="5"/>
        <v>1</v>
      </c>
      <c r="BC23" s="181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S23" s="644"/>
      <c r="BT23" s="384">
        <v>16</v>
      </c>
      <c r="BU23" s="377" t="s">
        <v>179</v>
      </c>
      <c r="BV23" s="382">
        <v>7</v>
      </c>
      <c r="BW23" s="382">
        <v>2.5</v>
      </c>
      <c r="BX23" s="382">
        <v>5</v>
      </c>
      <c r="BY23" s="382">
        <v>50</v>
      </c>
      <c r="BZ23" s="382">
        <v>50</v>
      </c>
      <c r="CA23" s="388">
        <v>50</v>
      </c>
      <c r="CB23" s="643"/>
      <c r="CC23" s="205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</row>
    <row r="24" spans="2:183" s="76" customFormat="1" ht="12" customHeight="1">
      <c r="B24" s="743">
        <v>3</v>
      </c>
      <c r="C24" s="744"/>
      <c r="D24" s="808" t="s">
        <v>142</v>
      </c>
      <c r="E24" s="808"/>
      <c r="F24" s="808"/>
      <c r="G24" s="808"/>
      <c r="H24" s="808"/>
      <c r="I24" s="808"/>
      <c r="J24" s="808"/>
      <c r="K24" s="808"/>
      <c r="L24" s="808"/>
      <c r="M24" s="808"/>
      <c r="N24" s="808"/>
      <c r="O24" s="808"/>
      <c r="P24" s="808"/>
      <c r="Q24" s="808"/>
      <c r="R24" s="808"/>
      <c r="S24" s="808"/>
      <c r="T24" s="808"/>
      <c r="U24" s="808"/>
      <c r="V24" s="808"/>
      <c r="W24" s="808"/>
      <c r="X24" s="808"/>
      <c r="Y24" s="812"/>
      <c r="Z24" s="812"/>
      <c r="AA24" s="812"/>
      <c r="AB24" s="812"/>
      <c r="AC24" s="812"/>
      <c r="AD24" s="812"/>
      <c r="AE24" s="812"/>
      <c r="AF24" s="812"/>
      <c r="AG24" s="812"/>
      <c r="AH24" s="812"/>
      <c r="AI24" s="812"/>
      <c r="AJ24" s="812"/>
      <c r="AK24" s="810">
        <v>1.35</v>
      </c>
      <c r="AL24" s="810"/>
      <c r="AM24" s="810"/>
      <c r="AN24" s="812"/>
      <c r="AO24" s="812"/>
      <c r="AP24" s="813"/>
      <c r="AQ24" s="179"/>
      <c r="AR24" s="180"/>
      <c r="AS24" s="180"/>
      <c r="AT24" s="80"/>
      <c r="AU24" s="80"/>
      <c r="AV24" s="183">
        <v>0.4</v>
      </c>
      <c r="AW24" s="185">
        <f t="shared" si="2"/>
        <v>0.9</v>
      </c>
      <c r="AX24" s="201">
        <f t="shared" si="0"/>
        <v>0.9</v>
      </c>
      <c r="AY24" s="187">
        <v>0.2</v>
      </c>
      <c r="AZ24" s="189">
        <f t="shared" si="3"/>
        <v>0.60006104566751306</v>
      </c>
      <c r="BA24" s="202">
        <f t="shared" si="1"/>
        <v>0.60006104566751306</v>
      </c>
      <c r="BB24" s="202">
        <f t="shared" si="5"/>
        <v>1</v>
      </c>
      <c r="BC24" s="181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S24" s="644"/>
      <c r="BT24" s="384">
        <v>17</v>
      </c>
      <c r="BU24" s="377" t="s">
        <v>180</v>
      </c>
      <c r="BV24" s="382">
        <v>6</v>
      </c>
      <c r="BW24" s="382">
        <v>2</v>
      </c>
      <c r="BX24" s="382">
        <v>6</v>
      </c>
      <c r="BY24" s="382">
        <v>50</v>
      </c>
      <c r="BZ24" s="382">
        <v>50</v>
      </c>
      <c r="CA24" s="388">
        <v>50</v>
      </c>
      <c r="CB24" s="643"/>
      <c r="CC24" s="205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</row>
    <row r="25" spans="2:183" s="76" customFormat="1" ht="12" customHeight="1">
      <c r="B25" s="747"/>
      <c r="C25" s="748"/>
      <c r="D25" s="809"/>
      <c r="E25" s="809"/>
      <c r="F25" s="809"/>
      <c r="G25" s="809"/>
      <c r="H25" s="809"/>
      <c r="I25" s="809"/>
      <c r="J25" s="809"/>
      <c r="K25" s="809"/>
      <c r="L25" s="809"/>
      <c r="M25" s="809"/>
      <c r="N25" s="809"/>
      <c r="O25" s="809"/>
      <c r="P25" s="809"/>
      <c r="Q25" s="809"/>
      <c r="R25" s="809"/>
      <c r="S25" s="809"/>
      <c r="T25" s="809"/>
      <c r="U25" s="809"/>
      <c r="V25" s="809"/>
      <c r="W25" s="809"/>
      <c r="X25" s="809"/>
      <c r="Y25" s="814"/>
      <c r="Z25" s="814"/>
      <c r="AA25" s="814"/>
      <c r="AB25" s="814"/>
      <c r="AC25" s="814"/>
      <c r="AD25" s="814"/>
      <c r="AE25" s="814"/>
      <c r="AF25" s="814"/>
      <c r="AG25" s="814"/>
      <c r="AH25" s="814"/>
      <c r="AI25" s="814"/>
      <c r="AJ25" s="814"/>
      <c r="AK25" s="811"/>
      <c r="AL25" s="811"/>
      <c r="AM25" s="811"/>
      <c r="AN25" s="814"/>
      <c r="AO25" s="814"/>
      <c r="AP25" s="815"/>
      <c r="AQ25" s="179"/>
      <c r="AR25" s="180"/>
      <c r="AS25" s="180"/>
      <c r="AT25" s="80"/>
      <c r="AU25" s="80"/>
      <c r="AV25" s="183">
        <v>0.42</v>
      </c>
      <c r="AW25" s="185">
        <f t="shared" si="2"/>
        <v>0.9</v>
      </c>
      <c r="AX25" s="201">
        <f t="shared" si="0"/>
        <v>0.9</v>
      </c>
      <c r="AY25" s="187">
        <v>0.21</v>
      </c>
      <c r="AZ25" s="189">
        <f t="shared" si="3"/>
        <v>0.58341182390087076</v>
      </c>
      <c r="BA25" s="202">
        <f t="shared" si="1"/>
        <v>0.58341182390087076</v>
      </c>
      <c r="BB25" s="202">
        <f t="shared" si="5"/>
        <v>1.0037499999999999</v>
      </c>
      <c r="BC25" s="181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S25" s="644"/>
      <c r="BT25" s="384">
        <v>18</v>
      </c>
      <c r="BU25" s="377" t="s">
        <v>181</v>
      </c>
      <c r="BV25" s="382">
        <v>4.5</v>
      </c>
      <c r="BW25" s="382">
        <v>2</v>
      </c>
      <c r="BX25" s="382">
        <v>4.5</v>
      </c>
      <c r="BY25" s="382">
        <v>50</v>
      </c>
      <c r="BZ25" s="382">
        <v>50</v>
      </c>
      <c r="CA25" s="388">
        <v>50</v>
      </c>
      <c r="CB25" s="643"/>
      <c r="CC25" s="205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</row>
    <row r="26" spans="2:183" s="76" customFormat="1" ht="12" customHeight="1">
      <c r="B26" s="743">
        <v>4</v>
      </c>
      <c r="C26" s="744"/>
      <c r="D26" s="808" t="s">
        <v>141</v>
      </c>
      <c r="E26" s="808"/>
      <c r="F26" s="808"/>
      <c r="G26" s="808"/>
      <c r="H26" s="808"/>
      <c r="I26" s="808"/>
      <c r="J26" s="808"/>
      <c r="K26" s="808"/>
      <c r="L26" s="808"/>
      <c r="M26" s="808"/>
      <c r="N26" s="808"/>
      <c r="O26" s="808"/>
      <c r="P26" s="808"/>
      <c r="Q26" s="808"/>
      <c r="R26" s="808"/>
      <c r="S26" s="808"/>
      <c r="T26" s="808"/>
      <c r="U26" s="808"/>
      <c r="V26" s="808"/>
      <c r="W26" s="808"/>
      <c r="X26" s="808"/>
      <c r="Y26" s="812"/>
      <c r="Z26" s="812"/>
      <c r="AA26" s="812"/>
      <c r="AB26" s="812"/>
      <c r="AC26" s="812"/>
      <c r="AD26" s="812"/>
      <c r="AE26" s="812"/>
      <c r="AF26" s="812"/>
      <c r="AG26" s="812"/>
      <c r="AH26" s="812"/>
      <c r="AI26" s="812"/>
      <c r="AJ26" s="812"/>
      <c r="AK26" s="810">
        <v>0.6</v>
      </c>
      <c r="AL26" s="810"/>
      <c r="AM26" s="810"/>
      <c r="AN26" s="812"/>
      <c r="AO26" s="812"/>
      <c r="AP26" s="813"/>
      <c r="AQ26" s="179"/>
      <c r="AR26" s="180"/>
      <c r="AS26" s="180"/>
      <c r="AT26" s="80"/>
      <c r="AU26" s="80"/>
      <c r="AV26" s="183">
        <v>0.44</v>
      </c>
      <c r="AW26" s="185">
        <f t="shared" si="2"/>
        <v>0.9</v>
      </c>
      <c r="AX26" s="201">
        <f t="shared" si="0"/>
        <v>0.9</v>
      </c>
      <c r="AY26" s="187">
        <v>0.22</v>
      </c>
      <c r="AZ26" s="189">
        <f t="shared" si="3"/>
        <v>0.56787668318368689</v>
      </c>
      <c r="BA26" s="202">
        <f t="shared" si="1"/>
        <v>0.56787668318368689</v>
      </c>
      <c r="BB26" s="202">
        <f t="shared" si="5"/>
        <v>1.0075000000000001</v>
      </c>
      <c r="BC26" s="181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S26" s="644"/>
      <c r="BT26" s="384">
        <v>19</v>
      </c>
      <c r="BU26" s="377" t="s">
        <v>182</v>
      </c>
      <c r="BV26" s="382">
        <v>7</v>
      </c>
      <c r="BW26" s="382">
        <v>2.5</v>
      </c>
      <c r="BX26" s="382">
        <v>4</v>
      </c>
      <c r="BY26" s="382">
        <v>50</v>
      </c>
      <c r="BZ26" s="382">
        <v>50</v>
      </c>
      <c r="CA26" s="388">
        <v>50</v>
      </c>
      <c r="CB26" s="643"/>
      <c r="CC26" s="205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</row>
    <row r="27" spans="2:183" s="76" customFormat="1" ht="12" customHeight="1">
      <c r="B27" s="747"/>
      <c r="C27" s="748"/>
      <c r="D27" s="809"/>
      <c r="E27" s="809"/>
      <c r="F27" s="809"/>
      <c r="G27" s="809"/>
      <c r="H27" s="809"/>
      <c r="I27" s="809"/>
      <c r="J27" s="809"/>
      <c r="K27" s="809"/>
      <c r="L27" s="809"/>
      <c r="M27" s="809"/>
      <c r="N27" s="809"/>
      <c r="O27" s="809"/>
      <c r="P27" s="809"/>
      <c r="Q27" s="809"/>
      <c r="R27" s="809"/>
      <c r="S27" s="809"/>
      <c r="T27" s="809"/>
      <c r="U27" s="809"/>
      <c r="V27" s="809"/>
      <c r="W27" s="809"/>
      <c r="X27" s="809"/>
      <c r="Y27" s="814"/>
      <c r="Z27" s="814"/>
      <c r="AA27" s="814"/>
      <c r="AB27" s="814"/>
      <c r="AC27" s="814"/>
      <c r="AD27" s="814"/>
      <c r="AE27" s="814"/>
      <c r="AF27" s="814"/>
      <c r="AG27" s="814"/>
      <c r="AH27" s="814"/>
      <c r="AI27" s="814"/>
      <c r="AJ27" s="814"/>
      <c r="AK27" s="811"/>
      <c r="AL27" s="811"/>
      <c r="AM27" s="811"/>
      <c r="AN27" s="814"/>
      <c r="AO27" s="814"/>
      <c r="AP27" s="815"/>
      <c r="AQ27" s="179"/>
      <c r="AR27" s="180"/>
      <c r="AS27" s="180"/>
      <c r="AT27" s="80"/>
      <c r="AU27" s="80"/>
      <c r="AV27" s="183">
        <v>0.46</v>
      </c>
      <c r="AW27" s="185">
        <f t="shared" si="2"/>
        <v>0.9</v>
      </c>
      <c r="AX27" s="201">
        <f t="shared" si="0"/>
        <v>0.9</v>
      </c>
      <c r="AY27" s="187">
        <v>0.23</v>
      </c>
      <c r="AZ27" s="189">
        <f t="shared" si="3"/>
        <v>0.55333479389138818</v>
      </c>
      <c r="BA27" s="202">
        <f t="shared" si="1"/>
        <v>0.55333479389138818</v>
      </c>
      <c r="BB27" s="202">
        <f t="shared" si="5"/>
        <v>1.01125</v>
      </c>
      <c r="BC27" s="181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S27" s="644"/>
      <c r="BT27" s="386">
        <v>20</v>
      </c>
      <c r="BU27" s="377" t="s">
        <v>183</v>
      </c>
      <c r="BV27" s="382">
        <v>5.5</v>
      </c>
      <c r="BW27" s="382">
        <v>2.5</v>
      </c>
      <c r="BX27" s="382">
        <v>5</v>
      </c>
      <c r="BY27" s="382">
        <v>50</v>
      </c>
      <c r="BZ27" s="382">
        <v>50</v>
      </c>
      <c r="CA27" s="388">
        <v>50</v>
      </c>
      <c r="CB27" s="643"/>
      <c r="CC27" s="205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</row>
    <row r="28" spans="2:183" s="76" customFormat="1" ht="12" customHeight="1">
      <c r="B28" s="743">
        <v>5</v>
      </c>
      <c r="C28" s="744"/>
      <c r="D28" s="808" t="s">
        <v>144</v>
      </c>
      <c r="E28" s="808"/>
      <c r="F28" s="808"/>
      <c r="G28" s="808"/>
      <c r="H28" s="808"/>
      <c r="I28" s="808"/>
      <c r="J28" s="808"/>
      <c r="K28" s="808"/>
      <c r="L28" s="808"/>
      <c r="M28" s="808"/>
      <c r="N28" s="808"/>
      <c r="O28" s="808"/>
      <c r="P28" s="808"/>
      <c r="Q28" s="808"/>
      <c r="R28" s="808"/>
      <c r="S28" s="808"/>
      <c r="T28" s="808"/>
      <c r="U28" s="808"/>
      <c r="V28" s="808"/>
      <c r="W28" s="808"/>
      <c r="X28" s="808"/>
      <c r="Y28" s="804" t="s">
        <v>21</v>
      </c>
      <c r="Z28" s="804"/>
      <c r="AA28" s="804"/>
      <c r="AB28" s="804"/>
      <c r="AC28" s="804"/>
      <c r="AD28" s="804"/>
      <c r="AE28" s="804"/>
      <c r="AF28" s="804"/>
      <c r="AG28" s="804"/>
      <c r="AH28" s="804"/>
      <c r="AI28" s="804"/>
      <c r="AJ28" s="804"/>
      <c r="AK28" s="804"/>
      <c r="AL28" s="804"/>
      <c r="AM28" s="804"/>
      <c r="AN28" s="804"/>
      <c r="AO28" s="804"/>
      <c r="AP28" s="805"/>
      <c r="AQ28" s="179"/>
      <c r="AR28" s="180"/>
      <c r="AS28" s="180"/>
      <c r="AT28" s="80"/>
      <c r="AU28" s="80"/>
      <c r="AV28" s="183">
        <v>0.48</v>
      </c>
      <c r="AW28" s="185">
        <f t="shared" si="2"/>
        <v>0.9</v>
      </c>
      <c r="AX28" s="201">
        <f t="shared" si="0"/>
        <v>0.9</v>
      </c>
      <c r="AY28" s="187">
        <v>0.24</v>
      </c>
      <c r="AZ28" s="189">
        <f t="shared" si="3"/>
        <v>0.53968303873930135</v>
      </c>
      <c r="BA28" s="202">
        <f t="shared" si="1"/>
        <v>0.53968303873930135</v>
      </c>
      <c r="BB28" s="202">
        <f t="shared" si="5"/>
        <v>1.0149999999999999</v>
      </c>
      <c r="BC28" s="181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S28" s="644" t="s">
        <v>149</v>
      </c>
      <c r="BT28" s="385">
        <v>21</v>
      </c>
      <c r="BU28" s="377" t="s">
        <v>184</v>
      </c>
      <c r="BV28" s="382">
        <v>7.5</v>
      </c>
      <c r="BW28" s="382">
        <v>3</v>
      </c>
      <c r="BX28" s="382">
        <v>5.5</v>
      </c>
      <c r="BY28" s="382">
        <v>200</v>
      </c>
      <c r="BZ28" s="382">
        <v>200</v>
      </c>
      <c r="CA28" s="388">
        <v>150</v>
      </c>
      <c r="CB28" s="643"/>
      <c r="CC28" s="205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</row>
    <row r="29" spans="2:183" s="76" customFormat="1" ht="12" customHeight="1">
      <c r="B29" s="747"/>
      <c r="C29" s="748"/>
      <c r="D29" s="809"/>
      <c r="E29" s="809"/>
      <c r="F29" s="809"/>
      <c r="G29" s="809"/>
      <c r="H29" s="809"/>
      <c r="I29" s="809"/>
      <c r="J29" s="809"/>
      <c r="K29" s="809"/>
      <c r="L29" s="809"/>
      <c r="M29" s="809"/>
      <c r="N29" s="809"/>
      <c r="O29" s="809"/>
      <c r="P29" s="809"/>
      <c r="Q29" s="809"/>
      <c r="R29" s="809"/>
      <c r="S29" s="809"/>
      <c r="T29" s="809"/>
      <c r="U29" s="809"/>
      <c r="V29" s="809"/>
      <c r="W29" s="809"/>
      <c r="X29" s="809"/>
      <c r="Y29" s="827"/>
      <c r="Z29" s="827"/>
      <c r="AA29" s="827"/>
      <c r="AB29" s="827"/>
      <c r="AC29" s="827"/>
      <c r="AD29" s="827"/>
      <c r="AE29" s="827"/>
      <c r="AF29" s="827"/>
      <c r="AG29" s="827"/>
      <c r="AH29" s="827"/>
      <c r="AI29" s="827"/>
      <c r="AJ29" s="827"/>
      <c r="AK29" s="827"/>
      <c r="AL29" s="827"/>
      <c r="AM29" s="827"/>
      <c r="AN29" s="827"/>
      <c r="AO29" s="827"/>
      <c r="AP29" s="828"/>
      <c r="AQ29" s="179"/>
      <c r="AR29" s="180"/>
      <c r="AS29" s="180"/>
      <c r="AT29" s="80"/>
      <c r="AU29" s="80"/>
      <c r="AV29" s="183">
        <v>0.5</v>
      </c>
      <c r="AW29" s="185">
        <f t="shared" si="2"/>
        <v>0.9</v>
      </c>
      <c r="AX29" s="201">
        <f t="shared" si="0"/>
        <v>0.9</v>
      </c>
      <c r="AY29" s="187">
        <v>0.25</v>
      </c>
      <c r="AZ29" s="189">
        <f t="shared" si="3"/>
        <v>0.52683280049557379</v>
      </c>
      <c r="BA29" s="202">
        <f t="shared" si="1"/>
        <v>0.52683280049557379</v>
      </c>
      <c r="BB29" s="202">
        <f t="shared" si="5"/>
        <v>1.01875</v>
      </c>
      <c r="BC29" s="181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S29" s="644"/>
      <c r="BT29" s="384">
        <v>22</v>
      </c>
      <c r="BU29" s="377" t="s">
        <v>185</v>
      </c>
      <c r="BV29" s="382">
        <v>4.5</v>
      </c>
      <c r="BW29" s="382">
        <v>3</v>
      </c>
      <c r="BX29" s="382">
        <v>4.5</v>
      </c>
      <c r="BY29" s="382">
        <v>21</v>
      </c>
      <c r="BZ29" s="382">
        <v>15</v>
      </c>
      <c r="CA29" s="388" t="s">
        <v>193</v>
      </c>
      <c r="CB29" s="643"/>
      <c r="CC29" s="205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</row>
    <row r="30" spans="2:183" s="76" customFormat="1" ht="12" customHeight="1">
      <c r="B30" s="743">
        <v>6</v>
      </c>
      <c r="C30" s="744"/>
      <c r="D30" s="808" t="s">
        <v>202</v>
      </c>
      <c r="E30" s="808"/>
      <c r="F30" s="808"/>
      <c r="G30" s="808"/>
      <c r="H30" s="808"/>
      <c r="I30" s="808"/>
      <c r="J30" s="808"/>
      <c r="K30" s="808"/>
      <c r="L30" s="808"/>
      <c r="M30" s="808"/>
      <c r="N30" s="808"/>
      <c r="O30" s="808"/>
      <c r="P30" s="808"/>
      <c r="Q30" s="808"/>
      <c r="R30" s="808"/>
      <c r="S30" s="808"/>
      <c r="T30" s="808"/>
      <c r="U30" s="808"/>
      <c r="V30" s="808"/>
      <c r="W30" s="808"/>
      <c r="X30" s="808"/>
      <c r="Y30" s="804" t="s">
        <v>203</v>
      </c>
      <c r="Z30" s="804"/>
      <c r="AA30" s="804"/>
      <c r="AB30" s="804"/>
      <c r="AC30" s="804"/>
      <c r="AD30" s="804"/>
      <c r="AE30" s="804"/>
      <c r="AF30" s="804"/>
      <c r="AG30" s="804"/>
      <c r="AH30" s="804"/>
      <c r="AI30" s="804"/>
      <c r="AJ30" s="804"/>
      <c r="AK30" s="804"/>
      <c r="AL30" s="804"/>
      <c r="AM30" s="804"/>
      <c r="AN30" s="804"/>
      <c r="AO30" s="804"/>
      <c r="AP30" s="805"/>
      <c r="AQ30" s="179"/>
      <c r="AR30" s="180"/>
      <c r="AS30" s="180"/>
      <c r="AT30" s="80"/>
      <c r="AU30" s="80"/>
      <c r="AV30" s="183">
        <v>0.52</v>
      </c>
      <c r="AW30" s="185">
        <f t="shared" si="2"/>
        <v>0.9</v>
      </c>
      <c r="AX30" s="201">
        <f t="shared" si="0"/>
        <v>0.9</v>
      </c>
      <c r="AY30" s="187">
        <v>0.26</v>
      </c>
      <c r="AZ30" s="189">
        <f t="shared" si="3"/>
        <v>0.51470743489139736</v>
      </c>
      <c r="BA30" s="202">
        <f t="shared" si="1"/>
        <v>0.51470743489139736</v>
      </c>
      <c r="BB30" s="202">
        <f t="shared" si="5"/>
        <v>1.0225</v>
      </c>
      <c r="BC30" s="181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S30" s="644"/>
      <c r="BT30" s="384">
        <v>23</v>
      </c>
      <c r="BU30" s="377" t="s">
        <v>186</v>
      </c>
      <c r="BV30" s="382">
        <v>3</v>
      </c>
      <c r="BW30" s="382">
        <v>3</v>
      </c>
      <c r="BX30" s="382">
        <v>2.5</v>
      </c>
      <c r="BY30" s="382">
        <v>10.5</v>
      </c>
      <c r="BZ30" s="382" t="s">
        <v>193</v>
      </c>
      <c r="CA30" s="388" t="s">
        <v>193</v>
      </c>
      <c r="CB30" s="643"/>
      <c r="CC30" s="205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</row>
    <row r="31" spans="2:183" s="76" customFormat="1" ht="12" customHeight="1">
      <c r="B31" s="747"/>
      <c r="C31" s="748"/>
      <c r="D31" s="809"/>
      <c r="E31" s="809"/>
      <c r="F31" s="809"/>
      <c r="G31" s="809"/>
      <c r="H31" s="809"/>
      <c r="I31" s="809"/>
      <c r="J31" s="809"/>
      <c r="K31" s="809"/>
      <c r="L31" s="809"/>
      <c r="M31" s="809"/>
      <c r="N31" s="809"/>
      <c r="O31" s="809"/>
      <c r="P31" s="809"/>
      <c r="Q31" s="809"/>
      <c r="R31" s="809"/>
      <c r="S31" s="809"/>
      <c r="T31" s="809"/>
      <c r="U31" s="809"/>
      <c r="V31" s="809"/>
      <c r="W31" s="809"/>
      <c r="X31" s="809"/>
      <c r="Y31" s="827"/>
      <c r="Z31" s="827"/>
      <c r="AA31" s="827"/>
      <c r="AB31" s="827"/>
      <c r="AC31" s="827"/>
      <c r="AD31" s="827"/>
      <c r="AE31" s="827"/>
      <c r="AF31" s="827"/>
      <c r="AG31" s="827"/>
      <c r="AH31" s="827"/>
      <c r="AI31" s="827"/>
      <c r="AJ31" s="827"/>
      <c r="AK31" s="827"/>
      <c r="AL31" s="827"/>
      <c r="AM31" s="827"/>
      <c r="AN31" s="827"/>
      <c r="AO31" s="827"/>
      <c r="AP31" s="828"/>
      <c r="AQ31" s="179"/>
      <c r="AR31" s="180"/>
      <c r="AS31" s="180"/>
      <c r="AT31" s="80"/>
      <c r="AU31" s="80"/>
      <c r="AV31" s="183">
        <v>0.54</v>
      </c>
      <c r="AW31" s="185">
        <f t="shared" si="2"/>
        <v>0.9</v>
      </c>
      <c r="AX31" s="201">
        <f t="shared" si="0"/>
        <v>0.9</v>
      </c>
      <c r="AY31" s="187">
        <v>0.27</v>
      </c>
      <c r="AZ31" s="189">
        <f t="shared" si="3"/>
        <v>0.50324026235281327</v>
      </c>
      <c r="BA31" s="202">
        <f t="shared" si="1"/>
        <v>0.50324026235281327</v>
      </c>
      <c r="BB31" s="202">
        <f t="shared" si="5"/>
        <v>1.0262500000000001</v>
      </c>
      <c r="BC31" s="181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S31" s="644"/>
      <c r="BT31" s="384">
        <v>24</v>
      </c>
      <c r="BU31" s="377" t="s">
        <v>187</v>
      </c>
      <c r="BV31" s="382">
        <v>7.5</v>
      </c>
      <c r="BW31" s="382">
        <v>3</v>
      </c>
      <c r="BX31" s="382">
        <v>5.5</v>
      </c>
      <c r="BY31" s="382">
        <v>200</v>
      </c>
      <c r="BZ31" s="382">
        <v>200</v>
      </c>
      <c r="CA31" s="388">
        <v>150</v>
      </c>
      <c r="CB31" s="643"/>
      <c r="CC31" s="205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</row>
    <row r="32" spans="2:183" s="76" customFormat="1" ht="12" customHeight="1">
      <c r="B32" s="743">
        <v>7</v>
      </c>
      <c r="C32" s="744"/>
      <c r="D32" s="808" t="s">
        <v>226</v>
      </c>
      <c r="E32" s="808"/>
      <c r="F32" s="808"/>
      <c r="G32" s="808"/>
      <c r="H32" s="808"/>
      <c r="I32" s="808"/>
      <c r="J32" s="808"/>
      <c r="K32" s="808"/>
      <c r="L32" s="808"/>
      <c r="M32" s="808"/>
      <c r="N32" s="808"/>
      <c r="O32" s="808"/>
      <c r="P32" s="808"/>
      <c r="Q32" s="808"/>
      <c r="R32" s="808"/>
      <c r="S32" s="808"/>
      <c r="T32" s="808"/>
      <c r="U32" s="808"/>
      <c r="V32" s="808"/>
      <c r="W32" s="808"/>
      <c r="X32" s="808"/>
      <c r="Y32" s="804" t="s">
        <v>224</v>
      </c>
      <c r="Z32" s="804"/>
      <c r="AA32" s="804"/>
      <c r="AB32" s="804"/>
      <c r="AC32" s="804"/>
      <c r="AD32" s="804"/>
      <c r="AE32" s="804"/>
      <c r="AF32" s="804"/>
      <c r="AG32" s="804"/>
      <c r="AH32" s="804"/>
      <c r="AI32" s="804"/>
      <c r="AJ32" s="804"/>
      <c r="AK32" s="804"/>
      <c r="AL32" s="804"/>
      <c r="AM32" s="804"/>
      <c r="AN32" s="804"/>
      <c r="AO32" s="804"/>
      <c r="AP32" s="805"/>
      <c r="AQ32" s="739">
        <f>IF(Y32=CJ5,1,IF(AND(Y32=CJ6,OR(N117=CC7,N117=CC8)),1.2,IF(AND(Y32=CJ6,N117=CC9),1.3,"Error")))</f>
        <v>1</v>
      </c>
      <c r="AR32" s="803" t="s">
        <v>257</v>
      </c>
      <c r="AS32" s="180"/>
      <c r="AT32" s="80"/>
      <c r="AU32" s="80"/>
      <c r="AV32" s="183">
        <v>0.56000000000000005</v>
      </c>
      <c r="AW32" s="185">
        <f t="shared" si="2"/>
        <v>0.9</v>
      </c>
      <c r="AX32" s="201">
        <f t="shared" si="0"/>
        <v>0.9</v>
      </c>
      <c r="AY32" s="187">
        <v>0.28000000000000003</v>
      </c>
      <c r="AZ32" s="189">
        <f t="shared" si="3"/>
        <v>0.49237295712887497</v>
      </c>
      <c r="BA32" s="202">
        <f t="shared" si="1"/>
        <v>0.49237295712887497</v>
      </c>
      <c r="BB32" s="202">
        <f t="shared" si="5"/>
        <v>1.03</v>
      </c>
      <c r="BC32" s="181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S32" s="644"/>
      <c r="BT32" s="384">
        <v>25</v>
      </c>
      <c r="BU32" s="377" t="s">
        <v>188</v>
      </c>
      <c r="BV32" s="382">
        <v>4.5</v>
      </c>
      <c r="BW32" s="382">
        <v>3</v>
      </c>
      <c r="BX32" s="382">
        <v>4.5</v>
      </c>
      <c r="BY32" s="382">
        <v>28</v>
      </c>
      <c r="BZ32" s="382">
        <v>21</v>
      </c>
      <c r="CA32" s="388" t="s">
        <v>193</v>
      </c>
      <c r="CB32" s="643"/>
      <c r="CC32" s="205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</row>
    <row r="33" spans="2:183" s="76" customFormat="1" ht="12" customHeight="1">
      <c r="B33" s="747"/>
      <c r="C33" s="748"/>
      <c r="D33" s="809"/>
      <c r="E33" s="809"/>
      <c r="F33" s="809"/>
      <c r="G33" s="809"/>
      <c r="H33" s="809"/>
      <c r="I33" s="809"/>
      <c r="J33" s="809"/>
      <c r="K33" s="809"/>
      <c r="L33" s="809"/>
      <c r="M33" s="809"/>
      <c r="N33" s="809"/>
      <c r="O33" s="809"/>
      <c r="P33" s="809"/>
      <c r="Q33" s="809"/>
      <c r="R33" s="809"/>
      <c r="S33" s="809"/>
      <c r="T33" s="809"/>
      <c r="U33" s="809"/>
      <c r="V33" s="809"/>
      <c r="W33" s="809"/>
      <c r="X33" s="809"/>
      <c r="Y33" s="827"/>
      <c r="Z33" s="827"/>
      <c r="AA33" s="827"/>
      <c r="AB33" s="827"/>
      <c r="AC33" s="827"/>
      <c r="AD33" s="827"/>
      <c r="AE33" s="827"/>
      <c r="AF33" s="827"/>
      <c r="AG33" s="827"/>
      <c r="AH33" s="827"/>
      <c r="AI33" s="827"/>
      <c r="AJ33" s="827"/>
      <c r="AK33" s="827"/>
      <c r="AL33" s="827"/>
      <c r="AM33" s="827"/>
      <c r="AN33" s="827"/>
      <c r="AO33" s="827"/>
      <c r="AP33" s="828"/>
      <c r="AQ33" s="739"/>
      <c r="AR33" s="624"/>
      <c r="AS33" s="180"/>
      <c r="AT33" s="80"/>
      <c r="AU33" s="80"/>
      <c r="AV33" s="183">
        <v>0.57999999999999996</v>
      </c>
      <c r="AW33" s="185">
        <f t="shared" si="2"/>
        <v>0.89655172413793116</v>
      </c>
      <c r="AX33" s="201">
        <f t="shared" si="0"/>
        <v>0.89655172413793116</v>
      </c>
      <c r="AY33" s="187">
        <v>0.28999999999999998</v>
      </c>
      <c r="AZ33" s="189">
        <f t="shared" si="3"/>
        <v>0.48205424405316166</v>
      </c>
      <c r="BA33" s="202">
        <f t="shared" si="1"/>
        <v>0.48205424405316166</v>
      </c>
      <c r="BB33" s="202">
        <f t="shared" si="5"/>
        <v>1.0337499999999999</v>
      </c>
      <c r="BC33" s="181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S33" s="644"/>
      <c r="BT33" s="384">
        <v>26</v>
      </c>
      <c r="BU33" s="377" t="s">
        <v>189</v>
      </c>
      <c r="BV33" s="382">
        <v>3.5</v>
      </c>
      <c r="BW33" s="382">
        <v>3</v>
      </c>
      <c r="BX33" s="382">
        <v>3</v>
      </c>
      <c r="BY33" s="382">
        <v>10.5</v>
      </c>
      <c r="BZ33" s="382" t="s">
        <v>193</v>
      </c>
      <c r="CA33" s="388" t="s">
        <v>193</v>
      </c>
      <c r="CB33" s="205"/>
      <c r="CC33" s="205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</row>
    <row r="34" spans="2:183" s="76" customFormat="1" ht="12" customHeight="1">
      <c r="B34" s="743">
        <v>8</v>
      </c>
      <c r="C34" s="744"/>
      <c r="D34" s="808" t="s">
        <v>146</v>
      </c>
      <c r="E34" s="808"/>
      <c r="F34" s="808"/>
      <c r="G34" s="808"/>
      <c r="H34" s="808"/>
      <c r="I34" s="808"/>
      <c r="J34" s="808"/>
      <c r="K34" s="808"/>
      <c r="L34" s="808"/>
      <c r="M34" s="808"/>
      <c r="N34" s="808"/>
      <c r="O34" s="808"/>
      <c r="P34" s="808"/>
      <c r="Q34" s="808"/>
      <c r="R34" s="808"/>
      <c r="S34" s="808"/>
      <c r="T34" s="808"/>
      <c r="U34" s="808"/>
      <c r="V34" s="808"/>
      <c r="W34" s="808"/>
      <c r="X34" s="808"/>
      <c r="Y34" s="804" t="s">
        <v>208</v>
      </c>
      <c r="Z34" s="804"/>
      <c r="AA34" s="804"/>
      <c r="AB34" s="804"/>
      <c r="AC34" s="804"/>
      <c r="AD34" s="804"/>
      <c r="AE34" s="804"/>
      <c r="AF34" s="804"/>
      <c r="AG34" s="804"/>
      <c r="AH34" s="804"/>
      <c r="AI34" s="804"/>
      <c r="AJ34" s="804"/>
      <c r="AK34" s="804"/>
      <c r="AL34" s="804"/>
      <c r="AM34" s="804"/>
      <c r="AN34" s="804"/>
      <c r="AO34" s="804"/>
      <c r="AP34" s="805"/>
      <c r="AQ34" s="179"/>
      <c r="AR34" s="180"/>
      <c r="AS34" s="180"/>
      <c r="AT34" s="80"/>
      <c r="AU34" s="80"/>
      <c r="AV34" s="183">
        <v>0.6</v>
      </c>
      <c r="AW34" s="185">
        <f t="shared" si="2"/>
        <v>0.8666666666666667</v>
      </c>
      <c r="AX34" s="201">
        <f t="shared" si="0"/>
        <v>0.8666666666666667</v>
      </c>
      <c r="AY34" s="187">
        <v>0.3</v>
      </c>
      <c r="AZ34" s="189">
        <f t="shared" si="3"/>
        <v>0.47223883579319559</v>
      </c>
      <c r="BA34" s="202">
        <f t="shared" si="1"/>
        <v>0.47223883579319559</v>
      </c>
      <c r="BB34" s="202">
        <f t="shared" si="5"/>
        <v>1.0375000000000001</v>
      </c>
      <c r="BC34" s="181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S34" s="644"/>
      <c r="BT34" s="384">
        <v>27</v>
      </c>
      <c r="BU34" s="377" t="s">
        <v>190</v>
      </c>
      <c r="BV34" s="382">
        <v>6.5</v>
      </c>
      <c r="BW34" s="382">
        <v>3</v>
      </c>
      <c r="BX34" s="382">
        <v>5.5</v>
      </c>
      <c r="BY34" s="382">
        <v>50</v>
      </c>
      <c r="BZ34" s="382">
        <v>35</v>
      </c>
      <c r="CA34" s="388">
        <v>35</v>
      </c>
      <c r="CB34" s="205"/>
      <c r="CC34" s="205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</row>
    <row r="35" spans="2:183" s="76" customFormat="1" ht="12" customHeight="1">
      <c r="B35" s="747"/>
      <c r="C35" s="748"/>
      <c r="D35" s="809"/>
      <c r="E35" s="809"/>
      <c r="F35" s="809"/>
      <c r="G35" s="809"/>
      <c r="H35" s="809"/>
      <c r="I35" s="809"/>
      <c r="J35" s="809"/>
      <c r="K35" s="809"/>
      <c r="L35" s="809"/>
      <c r="M35" s="809"/>
      <c r="N35" s="809"/>
      <c r="O35" s="809"/>
      <c r="P35" s="809"/>
      <c r="Q35" s="809"/>
      <c r="R35" s="809"/>
      <c r="S35" s="809"/>
      <c r="T35" s="809"/>
      <c r="U35" s="809"/>
      <c r="V35" s="809"/>
      <c r="W35" s="809"/>
      <c r="X35" s="809"/>
      <c r="Y35" s="827"/>
      <c r="Z35" s="827"/>
      <c r="AA35" s="827"/>
      <c r="AB35" s="827"/>
      <c r="AC35" s="827"/>
      <c r="AD35" s="827"/>
      <c r="AE35" s="827"/>
      <c r="AF35" s="827"/>
      <c r="AG35" s="827"/>
      <c r="AH35" s="827"/>
      <c r="AI35" s="827"/>
      <c r="AJ35" s="827"/>
      <c r="AK35" s="827"/>
      <c r="AL35" s="827"/>
      <c r="AM35" s="827"/>
      <c r="AN35" s="827"/>
      <c r="AO35" s="827"/>
      <c r="AP35" s="828"/>
      <c r="AQ35" s="179"/>
      <c r="AR35" s="180"/>
      <c r="AS35" s="180"/>
      <c r="AT35" s="80"/>
      <c r="AU35" s="80"/>
      <c r="AV35" s="183">
        <v>0.62</v>
      </c>
      <c r="AW35" s="185">
        <f t="shared" si="2"/>
        <v>0.83870967741935487</v>
      </c>
      <c r="AX35" s="201">
        <f t="shared" si="0"/>
        <v>0.83870967741935487</v>
      </c>
      <c r="AY35" s="187">
        <v>0.31</v>
      </c>
      <c r="AZ35" s="189">
        <f t="shared" si="3"/>
        <v>0.46288655980945165</v>
      </c>
      <c r="BA35" s="202">
        <f t="shared" si="1"/>
        <v>0.46288655980945165</v>
      </c>
      <c r="BB35" s="202">
        <f t="shared" si="5"/>
        <v>1.04125</v>
      </c>
      <c r="BC35" s="181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S35" s="644"/>
      <c r="BT35" s="386">
        <v>28</v>
      </c>
      <c r="BU35" s="377" t="s">
        <v>191</v>
      </c>
      <c r="BV35" s="382">
        <v>7.5</v>
      </c>
      <c r="BW35" s="382">
        <v>3</v>
      </c>
      <c r="BX35" s="382">
        <v>5.5</v>
      </c>
      <c r="BY35" s="382">
        <v>200</v>
      </c>
      <c r="BZ35" s="382">
        <v>200</v>
      </c>
      <c r="CA35" s="388">
        <v>150</v>
      </c>
      <c r="CB35" s="205"/>
      <c r="CC35" s="205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</row>
    <row r="36" spans="2:183" s="76" customFormat="1" ht="12" customHeight="1">
      <c r="B36" s="743">
        <v>9</v>
      </c>
      <c r="C36" s="744"/>
      <c r="D36" s="808" t="s">
        <v>307</v>
      </c>
      <c r="E36" s="808"/>
      <c r="F36" s="808"/>
      <c r="G36" s="808"/>
      <c r="H36" s="808"/>
      <c r="I36" s="808"/>
      <c r="J36" s="808"/>
      <c r="K36" s="808"/>
      <c r="L36" s="808"/>
      <c r="M36" s="808"/>
      <c r="N36" s="808"/>
      <c r="O36" s="808"/>
      <c r="P36" s="808"/>
      <c r="Q36" s="808"/>
      <c r="R36" s="808"/>
      <c r="S36" s="808"/>
      <c r="T36" s="808"/>
      <c r="U36" s="808"/>
      <c r="V36" s="808"/>
      <c r="W36" s="808"/>
      <c r="X36" s="808"/>
      <c r="Y36" s="810"/>
      <c r="Z36" s="810"/>
      <c r="AA36" s="810"/>
      <c r="AB36" s="810"/>
      <c r="AC36" s="909"/>
      <c r="AD36" s="909"/>
      <c r="AE36" s="909"/>
      <c r="AF36" s="909"/>
      <c r="AG36" s="909"/>
      <c r="AH36" s="911" t="s">
        <v>241</v>
      </c>
      <c r="AI36" s="911"/>
      <c r="AJ36" s="911"/>
      <c r="AK36" s="908">
        <v>15</v>
      </c>
      <c r="AL36" s="908"/>
      <c r="AM36" s="908"/>
      <c r="AN36" s="908"/>
      <c r="AO36" s="791" t="s">
        <v>240</v>
      </c>
      <c r="AP36" s="792"/>
      <c r="AQ36" s="179"/>
      <c r="AR36" s="180"/>
      <c r="AS36" s="180"/>
      <c r="AT36" s="80"/>
      <c r="AU36" s="80"/>
      <c r="AV36" s="183">
        <v>0.64</v>
      </c>
      <c r="AW36" s="185">
        <f t="shared" si="2"/>
        <v>0.8125</v>
      </c>
      <c r="AX36" s="201">
        <f t="shared" si="0"/>
        <v>0.8125</v>
      </c>
      <c r="AY36" s="187">
        <v>0.32</v>
      </c>
      <c r="AZ36" s="189">
        <f t="shared" si="3"/>
        <v>0.45396163623245317</v>
      </c>
      <c r="BA36" s="202">
        <f t="shared" si="1"/>
        <v>0.45396163623245317</v>
      </c>
      <c r="BB36" s="202">
        <f t="shared" si="5"/>
        <v>1.0449999999999999</v>
      </c>
      <c r="BC36" s="181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S36" s="644" t="s">
        <v>150</v>
      </c>
      <c r="BT36" s="385">
        <v>29</v>
      </c>
      <c r="BU36" s="377" t="s">
        <v>151</v>
      </c>
      <c r="BV36" s="382">
        <v>7.5</v>
      </c>
      <c r="BW36" s="382">
        <v>3</v>
      </c>
      <c r="BX36" s="382">
        <v>7.5</v>
      </c>
      <c r="BY36" s="382">
        <v>200</v>
      </c>
      <c r="BZ36" s="382">
        <v>200</v>
      </c>
      <c r="CA36" s="388">
        <v>200</v>
      </c>
      <c r="CB36" s="205"/>
      <c r="CC36" s="205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</row>
    <row r="37" spans="2:183" s="76" customFormat="1" ht="12" customHeight="1">
      <c r="B37" s="747"/>
      <c r="C37" s="748"/>
      <c r="D37" s="809"/>
      <c r="E37" s="809"/>
      <c r="F37" s="809"/>
      <c r="G37" s="809"/>
      <c r="H37" s="809"/>
      <c r="I37" s="809"/>
      <c r="J37" s="809"/>
      <c r="K37" s="809"/>
      <c r="L37" s="809"/>
      <c r="M37" s="809"/>
      <c r="N37" s="809"/>
      <c r="O37" s="809"/>
      <c r="P37" s="809"/>
      <c r="Q37" s="809"/>
      <c r="R37" s="809"/>
      <c r="S37" s="809"/>
      <c r="T37" s="809"/>
      <c r="U37" s="809"/>
      <c r="V37" s="809"/>
      <c r="W37" s="809"/>
      <c r="X37" s="809"/>
      <c r="Y37" s="811"/>
      <c r="Z37" s="811"/>
      <c r="AA37" s="811"/>
      <c r="AB37" s="811"/>
      <c r="AC37" s="910"/>
      <c r="AD37" s="910"/>
      <c r="AE37" s="910"/>
      <c r="AF37" s="910"/>
      <c r="AG37" s="910"/>
      <c r="AH37" s="912"/>
      <c r="AI37" s="912"/>
      <c r="AJ37" s="912"/>
      <c r="AK37" s="889"/>
      <c r="AL37" s="889"/>
      <c r="AM37" s="889"/>
      <c r="AN37" s="889"/>
      <c r="AO37" s="793"/>
      <c r="AP37" s="794"/>
      <c r="AQ37" s="179"/>
      <c r="AR37" s="180"/>
      <c r="AS37" s="180"/>
      <c r="AT37" s="80"/>
      <c r="AU37" s="80"/>
      <c r="AV37" s="183">
        <v>0.66</v>
      </c>
      <c r="AW37" s="185">
        <f t="shared" si="2"/>
        <v>0.78787878787878785</v>
      </c>
      <c r="AX37" s="201">
        <f t="shared" si="0"/>
        <v>0.78787878787878785</v>
      </c>
      <c r="AY37" s="187">
        <v>0.33</v>
      </c>
      <c r="AZ37" s="189">
        <f t="shared" si="3"/>
        <v>0.44543207674337859</v>
      </c>
      <c r="BA37" s="202">
        <f t="shared" si="1"/>
        <v>0.44543207674337859</v>
      </c>
      <c r="BB37" s="202">
        <f t="shared" si="5"/>
        <v>1.0487500000000001</v>
      </c>
      <c r="BC37" s="181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S37" s="644"/>
      <c r="BT37" s="384">
        <v>30</v>
      </c>
      <c r="BU37" s="377" t="s">
        <v>152</v>
      </c>
      <c r="BV37" s="382">
        <v>7</v>
      </c>
      <c r="BW37" s="382">
        <v>2.5</v>
      </c>
      <c r="BX37" s="382">
        <v>5.5</v>
      </c>
      <c r="BY37" s="382">
        <v>200</v>
      </c>
      <c r="BZ37" s="382">
        <v>200</v>
      </c>
      <c r="CA37" s="388">
        <v>200</v>
      </c>
      <c r="CB37" s="205"/>
      <c r="CC37" s="205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</row>
    <row r="38" spans="2:183" s="76" customFormat="1" ht="12" customHeight="1">
      <c r="B38" s="743">
        <v>10</v>
      </c>
      <c r="C38" s="744"/>
      <c r="D38" s="808" t="s">
        <v>194</v>
      </c>
      <c r="E38" s="808"/>
      <c r="F38" s="808"/>
      <c r="G38" s="808"/>
      <c r="H38" s="808"/>
      <c r="I38" s="808"/>
      <c r="J38" s="808"/>
      <c r="K38" s="808"/>
      <c r="L38" s="808"/>
      <c r="M38" s="808"/>
      <c r="N38" s="808"/>
      <c r="O38" s="808"/>
      <c r="P38" s="808"/>
      <c r="Q38" s="808"/>
      <c r="R38" s="808"/>
      <c r="S38" s="808"/>
      <c r="T38" s="808"/>
      <c r="U38" s="808"/>
      <c r="V38" s="808"/>
      <c r="W38" s="808"/>
      <c r="X38" s="808"/>
      <c r="Y38" s="804" t="s">
        <v>185</v>
      </c>
      <c r="Z38" s="804"/>
      <c r="AA38" s="804"/>
      <c r="AB38" s="804"/>
      <c r="AC38" s="804"/>
      <c r="AD38" s="804"/>
      <c r="AE38" s="804"/>
      <c r="AF38" s="804"/>
      <c r="AG38" s="804"/>
      <c r="AH38" s="804"/>
      <c r="AI38" s="804"/>
      <c r="AJ38" s="804"/>
      <c r="AK38" s="804"/>
      <c r="AL38" s="804"/>
      <c r="AM38" s="804"/>
      <c r="AN38" s="804"/>
      <c r="AO38" s="804"/>
      <c r="AP38" s="805"/>
      <c r="AQ38" s="735">
        <f>IF(Y38=BU8,1,IF(Y38=BU9,2,IF(Y38=BU10,3,IF(Y38=BU11,4,IF(Y38=BU12,5,IF(Y38=BU13,6,IF(Y38=BU14,7,IF(Y38=BU15,8,IF(Y38=BU16,9,IF(Y38=BU17,10,IF(Y38=BU18,11,IF(Y38=BU19,12,IF(Y38=BU20,13,IF(Y38=BU21,14,IF(Y38=BU22,15,IF(Y38=BU23,16,IF(Y38=BU24,17,IF(Y38=BU25,18,IF(Y38=BU26,19,IF(Y38=BU27,20,IF(Y38=BU28,21,IF(Y38=BU29,22,IF(Y38=BU30,23,IF(Y38=BU31,24,IF(Y38=BU32,25,IF(Y38=BU33,26,IF(Y38=BU34,27,IF(Y38=BU35,28,IF(Y38=BU36,29,IF(Y38=BU37,30,IF(Y38=BU38,31,IF(Y38=BU39,32,IF(Y38=BU40,33,IF(Y38=BU41,34,IF(Y38=BU42,35,IF(Y38=BU43,36,IF(Y38=BU44,37,IF(Y38=BU45,38,IF(Y38=BU46,39,IF(Y38=BU47,40,IF(Y38=BU48,41,IF(Y38=BU49,42,IF(Y38=BU50,43,"Error")))))))))))))))))))))))))))))))))))))))))))</f>
        <v>22</v>
      </c>
      <c r="AR38" s="180"/>
      <c r="AS38" s="180"/>
      <c r="AT38" s="80"/>
      <c r="AU38" s="80"/>
      <c r="AV38" s="183">
        <v>0.68</v>
      </c>
      <c r="AW38" s="185">
        <f t="shared" si="2"/>
        <v>0.76470588235294112</v>
      </c>
      <c r="AX38" s="201">
        <f t="shared" si="0"/>
        <v>0.76470588235294112</v>
      </c>
      <c r="AY38" s="187">
        <v>0.34</v>
      </c>
      <c r="AZ38" s="189">
        <f t="shared" si="3"/>
        <v>0.43726918118586749</v>
      </c>
      <c r="BA38" s="202">
        <f t="shared" si="1"/>
        <v>0.43726918118586749</v>
      </c>
      <c r="BB38" s="202">
        <f t="shared" si="5"/>
        <v>1.0525</v>
      </c>
      <c r="BC38" s="181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S38" s="644"/>
      <c r="BT38" s="384">
        <v>31</v>
      </c>
      <c r="BU38" s="377" t="s">
        <v>153</v>
      </c>
      <c r="BV38" s="382">
        <v>7</v>
      </c>
      <c r="BW38" s="382">
        <v>2.5</v>
      </c>
      <c r="BX38" s="382">
        <v>5.5</v>
      </c>
      <c r="BY38" s="382">
        <v>200</v>
      </c>
      <c r="BZ38" s="382">
        <v>200</v>
      </c>
      <c r="CA38" s="388">
        <v>200</v>
      </c>
      <c r="CB38" s="205"/>
      <c r="CC38" s="205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</row>
    <row r="39" spans="2:183" s="76" customFormat="1" ht="12" customHeight="1">
      <c r="B39" s="745"/>
      <c r="C39" s="746"/>
      <c r="D39" s="855"/>
      <c r="E39" s="855"/>
      <c r="F39" s="855"/>
      <c r="G39" s="855"/>
      <c r="H39" s="855"/>
      <c r="I39" s="855"/>
      <c r="J39" s="855"/>
      <c r="K39" s="855"/>
      <c r="L39" s="855"/>
      <c r="M39" s="855"/>
      <c r="N39" s="855"/>
      <c r="O39" s="855"/>
      <c r="P39" s="855"/>
      <c r="Q39" s="855"/>
      <c r="R39" s="855"/>
      <c r="S39" s="855"/>
      <c r="T39" s="855"/>
      <c r="U39" s="855"/>
      <c r="V39" s="855"/>
      <c r="W39" s="855"/>
      <c r="X39" s="855"/>
      <c r="Y39" s="806"/>
      <c r="Z39" s="806"/>
      <c r="AA39" s="806"/>
      <c r="AB39" s="806"/>
      <c r="AC39" s="806"/>
      <c r="AD39" s="806"/>
      <c r="AE39" s="806"/>
      <c r="AF39" s="806"/>
      <c r="AG39" s="806"/>
      <c r="AH39" s="806"/>
      <c r="AI39" s="806"/>
      <c r="AJ39" s="806"/>
      <c r="AK39" s="806"/>
      <c r="AL39" s="806"/>
      <c r="AM39" s="806"/>
      <c r="AN39" s="806"/>
      <c r="AO39" s="806"/>
      <c r="AP39" s="807"/>
      <c r="AQ39" s="735"/>
      <c r="AR39" s="180"/>
      <c r="AS39" s="180"/>
      <c r="AT39" s="80"/>
      <c r="AU39" s="80"/>
      <c r="AV39" s="183">
        <v>0.7</v>
      </c>
      <c r="AW39" s="185">
        <f t="shared" si="2"/>
        <v>0.74285714285714288</v>
      </c>
      <c r="AX39" s="201">
        <f t="shared" si="0"/>
        <v>0.74285714285714288</v>
      </c>
      <c r="AY39" s="187">
        <v>0.35</v>
      </c>
      <c r="AZ39" s="189">
        <f t="shared" si="3"/>
        <v>0.42944711365507676</v>
      </c>
      <c r="BA39" s="202">
        <f t="shared" si="1"/>
        <v>0.42944711365507676</v>
      </c>
      <c r="BB39" s="202">
        <f t="shared" si="5"/>
        <v>1.0562499999999999</v>
      </c>
      <c r="BC39" s="181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S39" s="644"/>
      <c r="BT39" s="384">
        <v>32</v>
      </c>
      <c r="BU39" s="377" t="s">
        <v>154</v>
      </c>
      <c r="BV39" s="382">
        <v>7.5</v>
      </c>
      <c r="BW39" s="382">
        <v>2.5</v>
      </c>
      <c r="BX39" s="382">
        <v>4</v>
      </c>
      <c r="BY39" s="382">
        <v>200</v>
      </c>
      <c r="BZ39" s="382">
        <v>200</v>
      </c>
      <c r="CA39" s="388">
        <v>200</v>
      </c>
      <c r="CB39" s="205"/>
      <c r="CC39" s="205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</row>
    <row r="40" spans="2:183" s="76" customFormat="1" ht="12" customHeight="1">
      <c r="B40" s="747"/>
      <c r="C40" s="748"/>
      <c r="D40" s="797" t="str">
        <f>IF(Y38=BU50,"** با توجه آیین نامه 2800 مقادیر خواسته شده در زیر را وارد کنید**","")</f>
        <v/>
      </c>
      <c r="E40" s="797"/>
      <c r="F40" s="797"/>
      <c r="G40" s="797"/>
      <c r="H40" s="797"/>
      <c r="I40" s="797"/>
      <c r="J40" s="797"/>
      <c r="K40" s="797"/>
      <c r="L40" s="797"/>
      <c r="M40" s="797"/>
      <c r="N40" s="797"/>
      <c r="O40" s="797"/>
      <c r="P40" s="797"/>
      <c r="Q40" s="797"/>
      <c r="R40" s="797"/>
      <c r="S40" s="797"/>
      <c r="T40" s="797"/>
      <c r="U40" s="797"/>
      <c r="V40" s="797"/>
      <c r="W40" s="797"/>
      <c r="X40" s="797"/>
      <c r="Y40" s="797"/>
      <c r="Z40" s="797"/>
      <c r="AA40" s="797"/>
      <c r="AB40" s="797"/>
      <c r="AC40" s="797"/>
      <c r="AD40" s="797"/>
      <c r="AE40" s="797"/>
      <c r="AF40" s="797"/>
      <c r="AG40" s="797"/>
      <c r="AH40" s="797"/>
      <c r="AI40" s="797"/>
      <c r="AJ40" s="797"/>
      <c r="AK40" s="797"/>
      <c r="AL40" s="797"/>
      <c r="AM40" s="797"/>
      <c r="AN40" s="797"/>
      <c r="AO40" s="797"/>
      <c r="AP40" s="798"/>
      <c r="AQ40" s="735">
        <f>IF(AQ38=43,AI41,AL41)</f>
        <v>4.5</v>
      </c>
      <c r="AR40" s="737" t="s">
        <v>258</v>
      </c>
      <c r="AS40" s="180"/>
      <c r="AT40" s="80"/>
      <c r="AU40" s="80"/>
      <c r="AV40" s="183">
        <v>0.72</v>
      </c>
      <c r="AW40" s="185">
        <f t="shared" si="2"/>
        <v>0.72222222222222232</v>
      </c>
      <c r="AX40" s="201">
        <f t="shared" si="0"/>
        <v>0.72222222222222232</v>
      </c>
      <c r="AY40" s="187">
        <v>0.36</v>
      </c>
      <c r="AZ40" s="189">
        <f t="shared" si="3"/>
        <v>0.42194254363590084</v>
      </c>
      <c r="BA40" s="202">
        <f t="shared" si="1"/>
        <v>0.42194254363590084</v>
      </c>
      <c r="BB40" s="202">
        <f t="shared" si="5"/>
        <v>1.06</v>
      </c>
      <c r="BC40" s="181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S40" s="644"/>
      <c r="BT40" s="384">
        <v>33</v>
      </c>
      <c r="BU40" s="377" t="s">
        <v>155</v>
      </c>
      <c r="BV40" s="382">
        <v>7</v>
      </c>
      <c r="BW40" s="382">
        <v>2.5</v>
      </c>
      <c r="BX40" s="382">
        <v>4</v>
      </c>
      <c r="BY40" s="382">
        <v>200</v>
      </c>
      <c r="BZ40" s="382">
        <v>200</v>
      </c>
      <c r="CA40" s="388">
        <v>200</v>
      </c>
      <c r="CB40" s="205"/>
      <c r="CC40" s="205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</row>
    <row r="41" spans="2:183" s="76" customFormat="1" ht="12" customHeight="1">
      <c r="B41" s="743">
        <v>11</v>
      </c>
      <c r="C41" s="744"/>
      <c r="D41" s="749"/>
      <c r="E41" s="749"/>
      <c r="F41" s="755">
        <f>LOOKUP(AQ38,BT8:BT52,(IF(N117=CC7,BY8:BY52,IF(N117=CC8,BZ8:BZ52,IF(N117=CC9,CA8:CA52,"Error")))))</f>
        <v>15</v>
      </c>
      <c r="G41" s="755"/>
      <c r="H41" s="755"/>
      <c r="I41" s="751" t="s">
        <v>223</v>
      </c>
      <c r="J41" s="751"/>
      <c r="K41" s="751"/>
      <c r="L41" s="749"/>
      <c r="M41" s="749"/>
      <c r="N41" s="749"/>
      <c r="O41" s="749"/>
      <c r="P41" s="749"/>
      <c r="Q41" s="757">
        <f>LOOKUP(AQ38,BT8:BT52,BX8:BX52)</f>
        <v>4.5</v>
      </c>
      <c r="R41" s="757"/>
      <c r="S41" s="751" t="s">
        <v>222</v>
      </c>
      <c r="T41" s="751"/>
      <c r="U41" s="751"/>
      <c r="V41" s="749"/>
      <c r="W41" s="749"/>
      <c r="X41" s="749"/>
      <c r="Y41" s="749"/>
      <c r="Z41" s="749"/>
      <c r="AA41" s="757">
        <f>LOOKUP(AQ38,BT8:BT52,BW8:BW52)</f>
        <v>3</v>
      </c>
      <c r="AB41" s="757"/>
      <c r="AC41" s="753" t="s">
        <v>221</v>
      </c>
      <c r="AD41" s="753"/>
      <c r="AE41" s="753"/>
      <c r="AF41" s="749"/>
      <c r="AG41" s="749"/>
      <c r="AH41" s="749"/>
      <c r="AI41" s="749"/>
      <c r="AJ41" s="749"/>
      <c r="AK41" s="749"/>
      <c r="AL41" s="749">
        <f>LOOKUP(AQ38,BT8:BT52,BV8:BV52)</f>
        <v>4.5</v>
      </c>
      <c r="AM41" s="749"/>
      <c r="AN41" s="751" t="s">
        <v>220</v>
      </c>
      <c r="AO41" s="751"/>
      <c r="AP41" s="795"/>
      <c r="AQ41" s="735"/>
      <c r="AR41" s="737"/>
      <c r="AS41" s="180"/>
      <c r="AT41" s="80"/>
      <c r="AU41" s="80"/>
      <c r="AV41" s="183">
        <v>0.74</v>
      </c>
      <c r="AW41" s="185">
        <f t="shared" si="2"/>
        <v>0.70270270270270274</v>
      </c>
      <c r="AX41" s="201">
        <f t="shared" si="0"/>
        <v>0.70270270270270274</v>
      </c>
      <c r="AY41" s="187">
        <v>0.37</v>
      </c>
      <c r="AZ41" s="189">
        <f t="shared" si="3"/>
        <v>0.41473434070378912</v>
      </c>
      <c r="BA41" s="202">
        <f t="shared" si="1"/>
        <v>0.41473434070378912</v>
      </c>
      <c r="BB41" s="202">
        <f t="shared" si="5"/>
        <v>1.06375</v>
      </c>
      <c r="BC41" s="181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S41" s="644"/>
      <c r="BT41" s="384">
        <v>34</v>
      </c>
      <c r="BU41" s="377" t="s">
        <v>156</v>
      </c>
      <c r="BV41" s="382">
        <v>7</v>
      </c>
      <c r="BW41" s="382">
        <v>2.5</v>
      </c>
      <c r="BX41" s="382">
        <v>5</v>
      </c>
      <c r="BY41" s="382">
        <v>200</v>
      </c>
      <c r="BZ41" s="382">
        <v>200</v>
      </c>
      <c r="CA41" s="388">
        <v>200</v>
      </c>
      <c r="CB41" s="205"/>
      <c r="CC41" s="205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</row>
    <row r="42" spans="2:183" s="76" customFormat="1" ht="12" customHeight="1" thickBot="1">
      <c r="B42" s="747"/>
      <c r="C42" s="748"/>
      <c r="D42" s="750"/>
      <c r="E42" s="750"/>
      <c r="F42" s="756"/>
      <c r="G42" s="756"/>
      <c r="H42" s="756"/>
      <c r="I42" s="752"/>
      <c r="J42" s="752"/>
      <c r="K42" s="752"/>
      <c r="L42" s="750"/>
      <c r="M42" s="750"/>
      <c r="N42" s="750"/>
      <c r="O42" s="750"/>
      <c r="P42" s="750"/>
      <c r="Q42" s="758"/>
      <c r="R42" s="758"/>
      <c r="S42" s="752"/>
      <c r="T42" s="752"/>
      <c r="U42" s="752"/>
      <c r="V42" s="750"/>
      <c r="W42" s="750"/>
      <c r="X42" s="750"/>
      <c r="Y42" s="750"/>
      <c r="Z42" s="750"/>
      <c r="AA42" s="758"/>
      <c r="AB42" s="758"/>
      <c r="AC42" s="754"/>
      <c r="AD42" s="754"/>
      <c r="AE42" s="754"/>
      <c r="AF42" s="750"/>
      <c r="AG42" s="750"/>
      <c r="AH42" s="750"/>
      <c r="AI42" s="750"/>
      <c r="AJ42" s="750"/>
      <c r="AK42" s="750"/>
      <c r="AL42" s="750"/>
      <c r="AM42" s="750"/>
      <c r="AN42" s="752"/>
      <c r="AO42" s="752"/>
      <c r="AP42" s="796"/>
      <c r="AQ42" s="735">
        <f>IF(AQ38=43,Y41,AA41)</f>
        <v>3</v>
      </c>
      <c r="AR42" s="737" t="s">
        <v>259</v>
      </c>
      <c r="AS42" s="194"/>
      <c r="AT42" s="80"/>
      <c r="AU42" s="80"/>
      <c r="AV42" s="183">
        <v>0.76</v>
      </c>
      <c r="AW42" s="185">
        <f t="shared" si="2"/>
        <v>0.68421052631578949</v>
      </c>
      <c r="AX42" s="201">
        <f t="shared" si="0"/>
        <v>0.68421052631578949</v>
      </c>
      <c r="AY42" s="187">
        <v>0.38</v>
      </c>
      <c r="AZ42" s="189">
        <f t="shared" si="3"/>
        <v>0.40780331358122696</v>
      </c>
      <c r="BA42" s="202">
        <f t="shared" si="1"/>
        <v>0.40780331358122696</v>
      </c>
      <c r="BB42" s="202">
        <f t="shared" si="5"/>
        <v>1.0674999999999999</v>
      </c>
      <c r="BC42" s="181"/>
      <c r="BD42" s="6"/>
      <c r="BE42" s="80"/>
      <c r="BF42" s="349"/>
      <c r="BG42" s="80"/>
      <c r="BH42" s="349"/>
      <c r="BI42" s="80"/>
      <c r="BJ42" s="349"/>
      <c r="BK42" s="80"/>
      <c r="BL42" s="349"/>
      <c r="BM42" s="349"/>
      <c r="BN42" s="349"/>
      <c r="BO42" s="642"/>
      <c r="BS42" s="644"/>
      <c r="BT42" s="384">
        <v>35</v>
      </c>
      <c r="BU42" s="377" t="s">
        <v>157</v>
      </c>
      <c r="BV42" s="382">
        <v>7</v>
      </c>
      <c r="BW42" s="382">
        <v>2.5</v>
      </c>
      <c r="BX42" s="382">
        <v>6.5</v>
      </c>
      <c r="BY42" s="382">
        <v>200</v>
      </c>
      <c r="BZ42" s="382">
        <v>200</v>
      </c>
      <c r="CA42" s="388">
        <v>200</v>
      </c>
      <c r="CB42" s="205"/>
      <c r="CC42" s="205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</row>
    <row r="43" spans="2:183" s="76" customFormat="1" ht="12" customHeight="1">
      <c r="B43" s="743">
        <v>12</v>
      </c>
      <c r="C43" s="744"/>
      <c r="D43" s="808" t="s">
        <v>145</v>
      </c>
      <c r="E43" s="808"/>
      <c r="F43" s="808"/>
      <c r="G43" s="808"/>
      <c r="H43" s="808"/>
      <c r="I43" s="808"/>
      <c r="J43" s="808"/>
      <c r="K43" s="808"/>
      <c r="L43" s="808"/>
      <c r="M43" s="808"/>
      <c r="N43" s="808"/>
      <c r="O43" s="808"/>
      <c r="P43" s="808"/>
      <c r="Q43" s="808"/>
      <c r="R43" s="808"/>
      <c r="S43" s="808"/>
      <c r="T43" s="808"/>
      <c r="U43" s="808"/>
      <c r="V43" s="808"/>
      <c r="W43" s="808"/>
      <c r="X43" s="808"/>
      <c r="Y43" s="866" t="s">
        <v>306</v>
      </c>
      <c r="Z43" s="866"/>
      <c r="AA43" s="868">
        <v>1.5</v>
      </c>
      <c r="AB43" s="868"/>
      <c r="AC43" s="868"/>
      <c r="AD43" s="868"/>
      <c r="AE43" s="868"/>
      <c r="AF43" s="812"/>
      <c r="AG43" s="812"/>
      <c r="AH43" s="812"/>
      <c r="AI43" s="866" t="s">
        <v>306</v>
      </c>
      <c r="AJ43" s="866"/>
      <c r="AK43" s="868">
        <v>1</v>
      </c>
      <c r="AL43" s="868"/>
      <c r="AM43" s="868"/>
      <c r="AN43" s="812"/>
      <c r="AO43" s="812"/>
      <c r="AP43" s="813"/>
      <c r="AQ43" s="735"/>
      <c r="AR43" s="737"/>
      <c r="AS43" s="194"/>
      <c r="AT43" s="80"/>
      <c r="AU43" s="80"/>
      <c r="AV43" s="183">
        <v>0.78</v>
      </c>
      <c r="AW43" s="185">
        <f t="shared" si="2"/>
        <v>0.66666666666666663</v>
      </c>
      <c r="AX43" s="201">
        <f t="shared" si="0"/>
        <v>0.66666666666666663</v>
      </c>
      <c r="AY43" s="187">
        <v>0.39</v>
      </c>
      <c r="AZ43" s="189">
        <f t="shared" si="3"/>
        <v>0.40113198612290446</v>
      </c>
      <c r="BA43" s="202">
        <f t="shared" si="1"/>
        <v>0.40113198612290446</v>
      </c>
      <c r="BB43" s="202">
        <f t="shared" si="5"/>
        <v>1.07125</v>
      </c>
      <c r="BC43" s="181"/>
      <c r="BD43" s="671" t="s">
        <v>127</v>
      </c>
      <c r="BE43" s="672"/>
      <c r="BF43" s="672"/>
      <c r="BG43" s="672"/>
      <c r="BH43" s="672"/>
      <c r="BI43" s="672"/>
      <c r="BJ43" s="672"/>
      <c r="BK43" s="672"/>
      <c r="BL43" s="672"/>
      <c r="BM43" s="672"/>
      <c r="BN43" s="673"/>
      <c r="BO43" s="642"/>
      <c r="BS43" s="644"/>
      <c r="BT43" s="384">
        <v>36</v>
      </c>
      <c r="BU43" s="377" t="s">
        <v>158</v>
      </c>
      <c r="BV43" s="382">
        <v>6</v>
      </c>
      <c r="BW43" s="382">
        <v>2.5</v>
      </c>
      <c r="BX43" s="382">
        <v>5</v>
      </c>
      <c r="BY43" s="382">
        <v>35</v>
      </c>
      <c r="BZ43" s="382">
        <v>28</v>
      </c>
      <c r="CA43" s="388">
        <v>15</v>
      </c>
      <c r="CB43" s="205"/>
      <c r="CC43" s="205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</row>
    <row r="44" spans="2:183" s="76" customFormat="1" ht="12" customHeight="1">
      <c r="B44" s="745"/>
      <c r="C44" s="746"/>
      <c r="D44" s="809"/>
      <c r="E44" s="809"/>
      <c r="F44" s="809"/>
      <c r="G44" s="809"/>
      <c r="H44" s="809"/>
      <c r="I44" s="809"/>
      <c r="J44" s="809"/>
      <c r="K44" s="809"/>
      <c r="L44" s="809"/>
      <c r="M44" s="809"/>
      <c r="N44" s="809"/>
      <c r="O44" s="809"/>
      <c r="P44" s="809"/>
      <c r="Q44" s="809"/>
      <c r="R44" s="809"/>
      <c r="S44" s="809"/>
      <c r="T44" s="809"/>
      <c r="U44" s="809"/>
      <c r="V44" s="809"/>
      <c r="W44" s="809"/>
      <c r="X44" s="809"/>
      <c r="Y44" s="867"/>
      <c r="Z44" s="867"/>
      <c r="AA44" s="869"/>
      <c r="AB44" s="869"/>
      <c r="AC44" s="869"/>
      <c r="AD44" s="869"/>
      <c r="AE44" s="869"/>
      <c r="AF44" s="814"/>
      <c r="AG44" s="814"/>
      <c r="AH44" s="814"/>
      <c r="AI44" s="867"/>
      <c r="AJ44" s="867"/>
      <c r="AK44" s="869"/>
      <c r="AL44" s="869"/>
      <c r="AM44" s="869"/>
      <c r="AN44" s="814"/>
      <c r="AO44" s="814"/>
      <c r="AP44" s="815"/>
      <c r="AQ44" s="739">
        <f>IF(AQ38=43,O41,Q41)</f>
        <v>4.5</v>
      </c>
      <c r="AR44" s="763" t="s">
        <v>260</v>
      </c>
      <c r="AS44" s="194"/>
      <c r="AT44" s="80"/>
      <c r="AU44" s="80"/>
      <c r="AV44" s="183">
        <v>0.8</v>
      </c>
      <c r="AW44" s="185">
        <f t="shared" si="2"/>
        <v>0.65</v>
      </c>
      <c r="AX44" s="201">
        <f t="shared" si="0"/>
        <v>0.65</v>
      </c>
      <c r="AY44" s="187">
        <v>0.4</v>
      </c>
      <c r="AZ44" s="189">
        <f t="shared" si="3"/>
        <v>0.39470440420222236</v>
      </c>
      <c r="BA44" s="202">
        <f t="shared" si="1"/>
        <v>0.39470440420222236</v>
      </c>
      <c r="BB44" s="202">
        <f t="shared" si="5"/>
        <v>1.075</v>
      </c>
      <c r="BC44" s="181"/>
      <c r="BD44" s="674"/>
      <c r="BE44" s="675"/>
      <c r="BF44" s="675"/>
      <c r="BG44" s="675"/>
      <c r="BH44" s="675"/>
      <c r="BI44" s="675"/>
      <c r="BJ44" s="675"/>
      <c r="BK44" s="675"/>
      <c r="BL44" s="675"/>
      <c r="BM44" s="676"/>
      <c r="BN44" s="677"/>
      <c r="BO44" s="642"/>
      <c r="BS44" s="644"/>
      <c r="BT44" s="384">
        <v>37</v>
      </c>
      <c r="BU44" s="377" t="s">
        <v>159</v>
      </c>
      <c r="BV44" s="382">
        <v>6</v>
      </c>
      <c r="BW44" s="382">
        <v>2.5</v>
      </c>
      <c r="BX44" s="382">
        <v>5</v>
      </c>
      <c r="BY44" s="382">
        <v>35</v>
      </c>
      <c r="BZ44" s="382">
        <v>28</v>
      </c>
      <c r="CA44" s="388">
        <v>15</v>
      </c>
      <c r="CB44" s="205"/>
      <c r="CC44" s="205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</row>
    <row r="45" spans="2:183" s="76" customFormat="1" ht="12" customHeight="1">
      <c r="B45" s="743"/>
      <c r="C45" s="744"/>
      <c r="D45" s="799" t="str">
        <f>IF(AK36&gt;F41,"ارتفاع سازه با توجه به سیستم سازه ای مقاوم در برابر نیروهای جانبی، بیشتر از مقدار مجاز می باشد.",IF(F41=CC10,"سیستم سازه‌ای انتخاب شده در این گروه لرزه‌ایی مجاز نمی‌باشد.",""))</f>
        <v/>
      </c>
      <c r="E45" s="799"/>
      <c r="F45" s="799"/>
      <c r="G45" s="799"/>
      <c r="H45" s="799"/>
      <c r="I45" s="799"/>
      <c r="J45" s="799"/>
      <c r="K45" s="799"/>
      <c r="L45" s="799"/>
      <c r="M45" s="799"/>
      <c r="N45" s="799"/>
      <c r="O45" s="799"/>
      <c r="P45" s="799"/>
      <c r="Q45" s="799"/>
      <c r="R45" s="799"/>
      <c r="S45" s="799"/>
      <c r="T45" s="799"/>
      <c r="U45" s="799"/>
      <c r="V45" s="799"/>
      <c r="W45" s="799"/>
      <c r="X45" s="799"/>
      <c r="Y45" s="799"/>
      <c r="Z45" s="799"/>
      <c r="AA45" s="799"/>
      <c r="AB45" s="799"/>
      <c r="AC45" s="799"/>
      <c r="AD45" s="799"/>
      <c r="AE45" s="799"/>
      <c r="AF45" s="799"/>
      <c r="AG45" s="799"/>
      <c r="AH45" s="799"/>
      <c r="AI45" s="799"/>
      <c r="AJ45" s="799"/>
      <c r="AK45" s="799"/>
      <c r="AL45" s="799"/>
      <c r="AM45" s="799"/>
      <c r="AN45" s="799"/>
      <c r="AO45" s="799"/>
      <c r="AP45" s="800"/>
      <c r="AQ45" s="739"/>
      <c r="AR45" s="763"/>
      <c r="AS45" s="194"/>
      <c r="AT45" s="80"/>
      <c r="AU45" s="80"/>
      <c r="AV45" s="183">
        <v>0.82</v>
      </c>
      <c r="AW45" s="185">
        <f t="shared" si="2"/>
        <v>0.63414634146341464</v>
      </c>
      <c r="AX45" s="201">
        <f t="shared" si="0"/>
        <v>0.63414634146341464</v>
      </c>
      <c r="AY45" s="187">
        <v>0.41</v>
      </c>
      <c r="AZ45" s="189">
        <f t="shared" si="3"/>
        <v>0.38850596857971131</v>
      </c>
      <c r="BA45" s="202">
        <f t="shared" si="1"/>
        <v>0.38850596857971131</v>
      </c>
      <c r="BB45" s="202">
        <f t="shared" si="5"/>
        <v>1.0787499999999999</v>
      </c>
      <c r="BC45" s="181"/>
      <c r="BD45" s="787" t="s">
        <v>128</v>
      </c>
      <c r="BE45" s="659"/>
      <c r="BF45" s="659"/>
      <c r="BG45" s="659"/>
      <c r="BH45" s="659"/>
      <c r="BI45" s="659"/>
      <c r="BJ45" s="659"/>
      <c r="BK45" s="659"/>
      <c r="BL45" s="659"/>
      <c r="BM45" s="659" t="s">
        <v>6</v>
      </c>
      <c r="BN45" s="660"/>
      <c r="BO45" s="642"/>
      <c r="BS45" s="644"/>
      <c r="BT45" s="384">
        <v>38</v>
      </c>
      <c r="BU45" s="377" t="s">
        <v>160</v>
      </c>
      <c r="BV45" s="382">
        <v>6</v>
      </c>
      <c r="BW45" s="382">
        <v>2.5</v>
      </c>
      <c r="BX45" s="382">
        <v>5</v>
      </c>
      <c r="BY45" s="382">
        <v>200</v>
      </c>
      <c r="BZ45" s="382">
        <v>200</v>
      </c>
      <c r="CA45" s="388">
        <v>200</v>
      </c>
      <c r="CB45" s="205"/>
      <c r="CC45" s="205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</row>
    <row r="46" spans="2:183" s="76" customFormat="1" ht="12" customHeight="1" thickBot="1">
      <c r="B46" s="928"/>
      <c r="C46" s="929"/>
      <c r="D46" s="801"/>
      <c r="E46" s="801"/>
      <c r="F46" s="801"/>
      <c r="G46" s="801"/>
      <c r="H46" s="801"/>
      <c r="I46" s="801"/>
      <c r="J46" s="801"/>
      <c r="K46" s="801"/>
      <c r="L46" s="801"/>
      <c r="M46" s="801"/>
      <c r="N46" s="801"/>
      <c r="O46" s="801"/>
      <c r="P46" s="801"/>
      <c r="Q46" s="801"/>
      <c r="R46" s="801"/>
      <c r="S46" s="801"/>
      <c r="T46" s="801"/>
      <c r="U46" s="801"/>
      <c r="V46" s="801"/>
      <c r="W46" s="801"/>
      <c r="X46" s="801"/>
      <c r="Y46" s="801"/>
      <c r="Z46" s="801"/>
      <c r="AA46" s="801"/>
      <c r="AB46" s="801"/>
      <c r="AC46" s="801"/>
      <c r="AD46" s="801"/>
      <c r="AE46" s="801"/>
      <c r="AF46" s="801"/>
      <c r="AG46" s="801"/>
      <c r="AH46" s="801"/>
      <c r="AI46" s="801"/>
      <c r="AJ46" s="801"/>
      <c r="AK46" s="801"/>
      <c r="AL46" s="801"/>
      <c r="AM46" s="801"/>
      <c r="AN46" s="801"/>
      <c r="AO46" s="801"/>
      <c r="AP46" s="802"/>
      <c r="AQ46" s="735">
        <f>IF(AQ38=43,D41,F41)</f>
        <v>15</v>
      </c>
      <c r="AR46" s="737" t="s">
        <v>261</v>
      </c>
      <c r="AS46" s="194"/>
      <c r="AT46" s="80"/>
      <c r="AU46" s="80"/>
      <c r="AV46" s="183">
        <v>0.84</v>
      </c>
      <c r="AW46" s="185">
        <f t="shared" si="2"/>
        <v>0.61904761904761907</v>
      </c>
      <c r="AX46" s="201">
        <f t="shared" si="0"/>
        <v>0.61904761904761907</v>
      </c>
      <c r="AY46" s="187">
        <v>0.42</v>
      </c>
      <c r="AZ46" s="189">
        <f t="shared" si="3"/>
        <v>0.38252328971649913</v>
      </c>
      <c r="BA46" s="202">
        <f t="shared" si="1"/>
        <v>0.38252328971649913</v>
      </c>
      <c r="BB46" s="202">
        <f t="shared" si="5"/>
        <v>1.0825</v>
      </c>
      <c r="BC46" s="206"/>
      <c r="BD46" s="787"/>
      <c r="BE46" s="659"/>
      <c r="BF46" s="659"/>
      <c r="BG46" s="659"/>
      <c r="BH46" s="659"/>
      <c r="BI46" s="659"/>
      <c r="BJ46" s="659"/>
      <c r="BK46" s="659"/>
      <c r="BL46" s="659"/>
      <c r="BM46" s="659"/>
      <c r="BN46" s="660"/>
      <c r="BO46" s="642"/>
      <c r="BS46" s="644"/>
      <c r="BT46" s="384">
        <v>39</v>
      </c>
      <c r="BU46" s="377" t="s">
        <v>161</v>
      </c>
      <c r="BV46" s="382">
        <v>7</v>
      </c>
      <c r="BW46" s="382">
        <v>2.5</v>
      </c>
      <c r="BX46" s="382">
        <v>4</v>
      </c>
      <c r="BY46" s="382">
        <v>200</v>
      </c>
      <c r="BZ46" s="382">
        <v>200</v>
      </c>
      <c r="CA46" s="388">
        <v>200</v>
      </c>
      <c r="CB46" s="205"/>
      <c r="CC46" s="205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</row>
    <row r="47" spans="2:183" s="76" customFormat="1" ht="12" customHeight="1">
      <c r="B47" s="764" t="str">
        <f>IF(AND(OR(Y28=BR8,Y28=BR9),AK26&gt;0.45,OR(AQ19=3,AQ19=4,AQ19=4)),"ضرایب اثرات زمین برمبنای تحلیل ویژه ساختگاه براساس بند ۸-۲ وارد کنید","")</f>
        <v/>
      </c>
      <c r="C47" s="765"/>
      <c r="D47" s="765"/>
      <c r="E47" s="765"/>
      <c r="F47" s="765"/>
      <c r="G47" s="765"/>
      <c r="H47" s="765"/>
      <c r="I47" s="765"/>
      <c r="J47" s="765"/>
      <c r="K47" s="765"/>
      <c r="L47" s="765"/>
      <c r="M47" s="765"/>
      <c r="N47" s="765"/>
      <c r="O47" s="765"/>
      <c r="P47" s="765"/>
      <c r="Q47" s="765"/>
      <c r="R47" s="765"/>
      <c r="S47" s="765"/>
      <c r="T47" s="765"/>
      <c r="U47" s="765"/>
      <c r="V47" s="765"/>
      <c r="W47" s="765"/>
      <c r="X47" s="765"/>
      <c r="Y47" s="765"/>
      <c r="Z47" s="765"/>
      <c r="AA47" s="765"/>
      <c r="AB47" s="765"/>
      <c r="AC47" s="765"/>
      <c r="AD47" s="765"/>
      <c r="AE47" s="765"/>
      <c r="AF47" s="765"/>
      <c r="AG47" s="765"/>
      <c r="AH47" s="765"/>
      <c r="AI47" s="765"/>
      <c r="AJ47" s="765"/>
      <c r="AK47" s="765"/>
      <c r="AL47" s="765"/>
      <c r="AM47" s="765"/>
      <c r="AN47" s="765"/>
      <c r="AO47" s="765"/>
      <c r="AP47" s="766"/>
      <c r="AQ47" s="735"/>
      <c r="AR47" s="737"/>
      <c r="AS47" s="194"/>
      <c r="AT47" s="80"/>
      <c r="AU47" s="80"/>
      <c r="AV47" s="183">
        <v>0.86</v>
      </c>
      <c r="AW47" s="185">
        <f t="shared" si="2"/>
        <v>0.60465116279069775</v>
      </c>
      <c r="AX47" s="201">
        <f t="shared" si="0"/>
        <v>0.60465116279069775</v>
      </c>
      <c r="AY47" s="187">
        <v>0.43</v>
      </c>
      <c r="AZ47" s="189">
        <f t="shared" si="3"/>
        <v>0.37674406120320109</v>
      </c>
      <c r="BA47" s="202">
        <f t="shared" si="1"/>
        <v>0.37674406120320109</v>
      </c>
      <c r="BB47" s="202">
        <f t="shared" si="5"/>
        <v>1.0862499999999999</v>
      </c>
      <c r="BC47" s="206"/>
      <c r="BD47" s="833" t="s">
        <v>129</v>
      </c>
      <c r="BE47" s="647" t="s">
        <v>278</v>
      </c>
      <c r="BF47" s="665" t="s">
        <v>130</v>
      </c>
      <c r="BG47" s="647" t="s">
        <v>279</v>
      </c>
      <c r="BH47" s="665" t="s">
        <v>131</v>
      </c>
      <c r="BI47" s="647" t="s">
        <v>280</v>
      </c>
      <c r="BJ47" s="665" t="s">
        <v>132</v>
      </c>
      <c r="BK47" s="647" t="s">
        <v>281</v>
      </c>
      <c r="BL47" s="649" t="s">
        <v>313</v>
      </c>
      <c r="BM47" s="659"/>
      <c r="BN47" s="660"/>
      <c r="BO47" s="642"/>
      <c r="BS47" s="644"/>
      <c r="BT47" s="384">
        <v>40</v>
      </c>
      <c r="BU47" s="377" t="s">
        <v>162</v>
      </c>
      <c r="BV47" s="382">
        <v>7</v>
      </c>
      <c r="BW47" s="382">
        <v>2.5</v>
      </c>
      <c r="BX47" s="382">
        <v>6</v>
      </c>
      <c r="BY47" s="382">
        <v>200</v>
      </c>
      <c r="BZ47" s="382">
        <v>200</v>
      </c>
      <c r="CA47" s="388">
        <v>200</v>
      </c>
      <c r="CB47" s="205"/>
      <c r="CC47" s="205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</row>
    <row r="48" spans="2:183" s="76" customFormat="1" ht="12" customHeight="1" thickBot="1">
      <c r="B48" s="767"/>
      <c r="C48" s="768"/>
      <c r="D48" s="768"/>
      <c r="E48" s="768"/>
      <c r="F48" s="768"/>
      <c r="G48" s="768"/>
      <c r="H48" s="768"/>
      <c r="I48" s="768"/>
      <c r="J48" s="768"/>
      <c r="K48" s="768"/>
      <c r="L48" s="768"/>
      <c r="M48" s="768"/>
      <c r="N48" s="768"/>
      <c r="O48" s="768"/>
      <c r="P48" s="768"/>
      <c r="Q48" s="768"/>
      <c r="R48" s="768"/>
      <c r="S48" s="768"/>
      <c r="T48" s="768"/>
      <c r="U48" s="768"/>
      <c r="V48" s="768"/>
      <c r="W48" s="768"/>
      <c r="X48" s="768"/>
      <c r="Y48" s="768"/>
      <c r="Z48" s="768"/>
      <c r="AA48" s="768"/>
      <c r="AB48" s="768"/>
      <c r="AC48" s="768"/>
      <c r="AD48" s="768"/>
      <c r="AE48" s="768"/>
      <c r="AF48" s="768"/>
      <c r="AG48" s="768"/>
      <c r="AH48" s="768"/>
      <c r="AI48" s="768"/>
      <c r="AJ48" s="768"/>
      <c r="AK48" s="768"/>
      <c r="AL48" s="768"/>
      <c r="AM48" s="768"/>
      <c r="AN48" s="768"/>
      <c r="AO48" s="768"/>
      <c r="AP48" s="769"/>
      <c r="AQ48" s="179"/>
      <c r="AR48" s="180"/>
      <c r="AS48" s="194"/>
      <c r="AT48" s="80"/>
      <c r="AU48" s="80"/>
      <c r="AV48" s="183">
        <v>0.88</v>
      </c>
      <c r="AW48" s="185">
        <f t="shared" si="2"/>
        <v>0.59090909090909094</v>
      </c>
      <c r="AX48" s="201">
        <f t="shared" si="0"/>
        <v>0.59090909090909094</v>
      </c>
      <c r="AY48" s="187">
        <v>0.44</v>
      </c>
      <c r="AZ48" s="189">
        <f t="shared" si="3"/>
        <v>0.37115694904457475</v>
      </c>
      <c r="BA48" s="202">
        <f t="shared" si="1"/>
        <v>0.37115694904457475</v>
      </c>
      <c r="BB48" s="202">
        <f t="shared" si="5"/>
        <v>1.0900000000000001</v>
      </c>
      <c r="BC48" s="206"/>
      <c r="BD48" s="834"/>
      <c r="BE48" s="648"/>
      <c r="BF48" s="666"/>
      <c r="BG48" s="648"/>
      <c r="BH48" s="666"/>
      <c r="BI48" s="648"/>
      <c r="BJ48" s="666"/>
      <c r="BK48" s="648"/>
      <c r="BL48" s="650"/>
      <c r="BM48" s="659"/>
      <c r="BN48" s="660"/>
      <c r="BO48" s="642"/>
      <c r="BS48" s="644"/>
      <c r="BT48" s="384">
        <v>41</v>
      </c>
      <c r="BU48" s="377" t="s">
        <v>163</v>
      </c>
      <c r="BV48" s="382">
        <v>5</v>
      </c>
      <c r="BW48" s="382">
        <v>2.5</v>
      </c>
      <c r="BX48" s="382">
        <v>4.5</v>
      </c>
      <c r="BY48" s="382">
        <v>35</v>
      </c>
      <c r="BZ48" s="382">
        <v>28</v>
      </c>
      <c r="CA48" s="388">
        <v>15</v>
      </c>
      <c r="CB48" s="205"/>
      <c r="CC48" s="205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</row>
    <row r="49" spans="2:183" s="76" customFormat="1" ht="12" customHeight="1">
      <c r="B49" s="305"/>
      <c r="C49" s="169"/>
      <c r="D49" s="761" t="s">
        <v>93</v>
      </c>
      <c r="E49" s="761"/>
      <c r="F49" s="761"/>
      <c r="G49" s="761"/>
      <c r="H49" s="761"/>
      <c r="I49" s="761"/>
      <c r="J49" s="761"/>
      <c r="K49" s="761"/>
      <c r="L49" s="761"/>
      <c r="M49" s="761"/>
      <c r="N49" s="761"/>
      <c r="O49" s="761"/>
      <c r="P49" s="761"/>
      <c r="Q49" s="761"/>
      <c r="R49" s="761"/>
      <c r="S49" s="761"/>
      <c r="T49" s="761"/>
      <c r="U49" s="761"/>
      <c r="V49" s="761"/>
      <c r="W49" s="761"/>
      <c r="X49" s="761"/>
      <c r="Y49" s="761"/>
      <c r="Z49" s="761"/>
      <c r="AA49" s="761"/>
      <c r="AB49" s="761"/>
      <c r="AC49" s="761"/>
      <c r="AD49" s="761"/>
      <c r="AE49" s="761"/>
      <c r="AF49" s="761"/>
      <c r="AG49" s="761"/>
      <c r="AH49" s="761"/>
      <c r="AI49" s="761"/>
      <c r="AJ49" s="761"/>
      <c r="AK49" s="761"/>
      <c r="AL49" s="761"/>
      <c r="AM49" s="761"/>
      <c r="AN49" s="761"/>
      <c r="AO49" s="761"/>
      <c r="AP49" s="356"/>
      <c r="AQ49" s="179"/>
      <c r="AR49" s="180"/>
      <c r="AS49" s="194"/>
      <c r="AT49" s="80"/>
      <c r="AU49" s="80"/>
      <c r="AV49" s="183">
        <v>0.9</v>
      </c>
      <c r="AW49" s="185">
        <f t="shared" si="2"/>
        <v>0.57777777777777783</v>
      </c>
      <c r="AX49" s="201">
        <f t="shared" si="0"/>
        <v>0.57777777777777783</v>
      </c>
      <c r="AY49" s="187">
        <v>0.45</v>
      </c>
      <c r="AZ49" s="189">
        <f t="shared" si="3"/>
        <v>0.36575149450210315</v>
      </c>
      <c r="BA49" s="202">
        <f t="shared" si="1"/>
        <v>0.36575149450210315</v>
      </c>
      <c r="BB49" s="202">
        <f t="shared" si="5"/>
        <v>1.09375</v>
      </c>
      <c r="BC49" s="206"/>
      <c r="BD49" s="406">
        <v>0.2</v>
      </c>
      <c r="BE49" s="407"/>
      <c r="BF49" s="408">
        <v>0.3</v>
      </c>
      <c r="BG49" s="407"/>
      <c r="BH49" s="408">
        <v>0.4</v>
      </c>
      <c r="BI49" s="407"/>
      <c r="BJ49" s="408">
        <v>0.5</v>
      </c>
      <c r="BK49" s="407"/>
      <c r="BL49" s="409">
        <v>0.6</v>
      </c>
      <c r="BM49" s="659"/>
      <c r="BN49" s="660"/>
      <c r="BO49" s="642"/>
      <c r="BS49" s="644"/>
      <c r="BT49" s="384">
        <v>42</v>
      </c>
      <c r="BU49" s="377" t="s">
        <v>192</v>
      </c>
      <c r="BV49" s="382">
        <v>2</v>
      </c>
      <c r="BW49" s="382">
        <v>1.5</v>
      </c>
      <c r="BX49" s="382">
        <v>2</v>
      </c>
      <c r="BY49" s="382">
        <v>10.5</v>
      </c>
      <c r="BZ49" s="382">
        <v>10.5</v>
      </c>
      <c r="CA49" s="388">
        <v>10.5</v>
      </c>
      <c r="CB49" s="205"/>
      <c r="CC49" s="205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</row>
    <row r="50" spans="2:183" s="76" customFormat="1" ht="12" customHeight="1" thickBot="1">
      <c r="B50" s="306"/>
      <c r="C50" s="307"/>
      <c r="D50" s="762"/>
      <c r="E50" s="762"/>
      <c r="F50" s="762"/>
      <c r="G50" s="762"/>
      <c r="H50" s="762"/>
      <c r="I50" s="762"/>
      <c r="J50" s="762"/>
      <c r="K50" s="762"/>
      <c r="L50" s="762"/>
      <c r="M50" s="762"/>
      <c r="N50" s="762"/>
      <c r="O50" s="762"/>
      <c r="P50" s="762"/>
      <c r="Q50" s="762"/>
      <c r="R50" s="762"/>
      <c r="S50" s="762"/>
      <c r="T50" s="762"/>
      <c r="U50" s="762"/>
      <c r="V50" s="762"/>
      <c r="W50" s="762"/>
      <c r="X50" s="762"/>
      <c r="Y50" s="762"/>
      <c r="Z50" s="762"/>
      <c r="AA50" s="762"/>
      <c r="AB50" s="762"/>
      <c r="AC50" s="762"/>
      <c r="AD50" s="762"/>
      <c r="AE50" s="762"/>
      <c r="AF50" s="762"/>
      <c r="AG50" s="762"/>
      <c r="AH50" s="762"/>
      <c r="AI50" s="762"/>
      <c r="AJ50" s="762"/>
      <c r="AK50" s="762"/>
      <c r="AL50" s="762"/>
      <c r="AM50" s="762"/>
      <c r="AN50" s="762"/>
      <c r="AO50" s="762"/>
      <c r="AP50" s="357"/>
      <c r="AQ50" s="179"/>
      <c r="AR50" s="180"/>
      <c r="AS50" s="180"/>
      <c r="AT50" s="80"/>
      <c r="AU50" s="80"/>
      <c r="AV50" s="183">
        <v>0.92</v>
      </c>
      <c r="AW50" s="185">
        <f t="shared" si="2"/>
        <v>0.56521739130434778</v>
      </c>
      <c r="AX50" s="201">
        <f t="shared" si="0"/>
        <v>0.56521739130434778</v>
      </c>
      <c r="AY50" s="187">
        <v>0.46</v>
      </c>
      <c r="AZ50" s="189">
        <f t="shared" si="3"/>
        <v>0.36051802857277054</v>
      </c>
      <c r="BA50" s="202">
        <f t="shared" si="1"/>
        <v>0.36051802857277054</v>
      </c>
      <c r="BB50" s="202">
        <f t="shared" si="5"/>
        <v>1.0974999999999999</v>
      </c>
      <c r="BC50" s="206"/>
      <c r="BD50" s="392">
        <f>IF(AND(Y19=CD8,Y22=CF6),0.9,1)</f>
        <v>1</v>
      </c>
      <c r="BE50" s="393">
        <f>((AK$26-BD$49)*(BF50-BD50)/(BF$49-BD$49))+BD50</f>
        <v>1</v>
      </c>
      <c r="BF50" s="396">
        <f>IF(AND(Y19=CD8,Y22=CF6),0.9,1)</f>
        <v>1</v>
      </c>
      <c r="BG50" s="393">
        <f>((AK$26-BF$49)*(BH50-BF50)/(BH$49-BF$49))+BF50</f>
        <v>1</v>
      </c>
      <c r="BH50" s="396">
        <f>IF(AND(Y19=CD8,Y22=CF6),0.9,1)</f>
        <v>1</v>
      </c>
      <c r="BI50" s="393">
        <f>((AK$26-BH$49)*(BJ50-BH50)/(BJ$49-BH$49))+BH50</f>
        <v>1</v>
      </c>
      <c r="BJ50" s="396">
        <f>IF(AND(Y19=CD8,Y22=CF6),0.9,1)</f>
        <v>1</v>
      </c>
      <c r="BK50" s="393">
        <f>((AK$26-BJ$49)*(BL50-BJ50)/(BL$49-BJ$49))+BJ50</f>
        <v>1</v>
      </c>
      <c r="BL50" s="379">
        <f>IF(AND(Y19=CD8,Y22=CF6),0.9,1)</f>
        <v>1</v>
      </c>
      <c r="BM50" s="397" t="s">
        <v>113</v>
      </c>
      <c r="BN50" s="410">
        <v>1</v>
      </c>
      <c r="BO50" s="642"/>
      <c r="BS50" s="645"/>
      <c r="BT50" s="389">
        <v>43</v>
      </c>
      <c r="BU50" s="378" t="s">
        <v>247</v>
      </c>
      <c r="BV50" s="390" t="s">
        <v>195</v>
      </c>
      <c r="BW50" s="390" t="s">
        <v>195</v>
      </c>
      <c r="BX50" s="390" t="s">
        <v>195</v>
      </c>
      <c r="BY50" s="390" t="s">
        <v>195</v>
      </c>
      <c r="BZ50" s="390" t="s">
        <v>195</v>
      </c>
      <c r="CA50" s="391" t="s">
        <v>195</v>
      </c>
      <c r="CB50" s="207"/>
      <c r="CC50" s="205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</row>
    <row r="51" spans="2:183" s="76" customFormat="1" ht="12" customHeight="1">
      <c r="B51" s="306"/>
      <c r="C51" s="307"/>
      <c r="D51" s="897" t="str">
        <f>E117</f>
        <v>گروه طراحی لرزه‌ای ۲</v>
      </c>
      <c r="E51" s="897"/>
      <c r="F51" s="897"/>
      <c r="G51" s="897"/>
      <c r="H51" s="897"/>
      <c r="I51" s="897"/>
      <c r="J51" s="897"/>
      <c r="K51" s="785" t="str">
        <f>N117</f>
        <v>SDC-2</v>
      </c>
      <c r="L51" s="785"/>
      <c r="M51" s="785"/>
      <c r="N51" s="785"/>
      <c r="O51" s="308"/>
      <c r="P51" s="775">
        <f>AQ32</f>
        <v>1</v>
      </c>
      <c r="Q51" s="775"/>
      <c r="R51" s="777" t="s">
        <v>233</v>
      </c>
      <c r="S51" s="777"/>
      <c r="T51" s="309"/>
      <c r="U51" s="308"/>
      <c r="V51" s="779" t="str">
        <f>AM106</f>
        <v>1</v>
      </c>
      <c r="W51" s="779"/>
      <c r="X51" s="781" t="s">
        <v>245</v>
      </c>
      <c r="Y51" s="781"/>
      <c r="Z51" s="310"/>
      <c r="AA51" s="783">
        <f>AJ108</f>
        <v>0.69077286856717779</v>
      </c>
      <c r="AB51" s="783"/>
      <c r="AC51" s="783"/>
      <c r="AD51" s="311"/>
      <c r="AE51" s="312"/>
      <c r="AF51" s="312"/>
      <c r="AG51" s="312"/>
      <c r="AH51" s="783">
        <f>AQ103</f>
        <v>0.75277999999999989</v>
      </c>
      <c r="AI51" s="783"/>
      <c r="AJ51" s="783"/>
      <c r="AK51" s="781" t="s">
        <v>246</v>
      </c>
      <c r="AL51" s="781"/>
      <c r="AM51" s="781"/>
      <c r="AN51" s="781"/>
      <c r="AO51" s="307"/>
      <c r="AP51" s="358"/>
      <c r="AQ51" s="179"/>
      <c r="AR51" s="180"/>
      <c r="AS51" s="180"/>
      <c r="AT51" s="80"/>
      <c r="AU51" s="80"/>
      <c r="AV51" s="183">
        <v>0.94</v>
      </c>
      <c r="AW51" s="185">
        <f t="shared" si="2"/>
        <v>0.55319148936170215</v>
      </c>
      <c r="AX51" s="201">
        <f t="shared" si="0"/>
        <v>0.55319148936170215</v>
      </c>
      <c r="AY51" s="187">
        <v>0.47</v>
      </c>
      <c r="AZ51" s="189">
        <f t="shared" si="3"/>
        <v>0.35544759649009972</v>
      </c>
      <c r="BA51" s="202">
        <f t="shared" si="1"/>
        <v>0.35544759649009972</v>
      </c>
      <c r="BB51" s="202">
        <f t="shared" si="5"/>
        <v>1.1012500000000001</v>
      </c>
      <c r="BC51" s="206"/>
      <c r="BD51" s="392">
        <v>1.5</v>
      </c>
      <c r="BE51" s="393">
        <f>((AK$26-BD$49)*(BF51-BD51)/(BF$49-BD$49))+BD51</f>
        <v>0.70000000000000007</v>
      </c>
      <c r="BF51" s="396">
        <v>1.3</v>
      </c>
      <c r="BG51" s="393">
        <f>((AK$26-BF$49)*(BH51-BF51)/(BH$49-BF$49))+BF51</f>
        <v>1.3</v>
      </c>
      <c r="BH51" s="396">
        <v>1.3</v>
      </c>
      <c r="BI51" s="393">
        <f>((AK$26-BH$49)*(BJ51-BH51)/(BJ$49-BH$49))+BH51</f>
        <v>1.3</v>
      </c>
      <c r="BJ51" s="396">
        <v>1.3</v>
      </c>
      <c r="BK51" s="393">
        <f>((AK$26-BJ$49)*(BL51-BJ51)/(BL$49-BJ$49))+BJ51</f>
        <v>1.3</v>
      </c>
      <c r="BL51" s="379">
        <v>1.3</v>
      </c>
      <c r="BM51" s="397" t="s">
        <v>114</v>
      </c>
      <c r="BN51" s="410">
        <v>2</v>
      </c>
      <c r="BO51" s="642"/>
      <c r="BS51" s="8"/>
      <c r="BU51" s="8"/>
      <c r="BV51" s="8"/>
      <c r="BW51" s="8"/>
      <c r="BX51" s="8"/>
      <c r="BY51" s="8"/>
      <c r="BZ51" s="8"/>
      <c r="CA51" s="8"/>
      <c r="CC51" s="205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</row>
    <row r="52" spans="2:183" s="76" customFormat="1" ht="12" customHeight="1" thickBot="1">
      <c r="B52" s="306"/>
      <c r="C52" s="307"/>
      <c r="D52" s="898"/>
      <c r="E52" s="898"/>
      <c r="F52" s="898"/>
      <c r="G52" s="898"/>
      <c r="H52" s="898"/>
      <c r="I52" s="898"/>
      <c r="J52" s="898"/>
      <c r="K52" s="786"/>
      <c r="L52" s="786"/>
      <c r="M52" s="786"/>
      <c r="N52" s="786"/>
      <c r="O52" s="308"/>
      <c r="P52" s="776"/>
      <c r="Q52" s="776"/>
      <c r="R52" s="778"/>
      <c r="S52" s="778"/>
      <c r="T52" s="170"/>
      <c r="U52" s="308"/>
      <c r="V52" s="780"/>
      <c r="W52" s="780"/>
      <c r="X52" s="782"/>
      <c r="Y52" s="782"/>
      <c r="Z52" s="171"/>
      <c r="AA52" s="784"/>
      <c r="AB52" s="784"/>
      <c r="AC52" s="784"/>
      <c r="AD52" s="172"/>
      <c r="AE52" s="312"/>
      <c r="AF52" s="312"/>
      <c r="AG52" s="312"/>
      <c r="AH52" s="784"/>
      <c r="AI52" s="784"/>
      <c r="AJ52" s="784"/>
      <c r="AK52" s="782"/>
      <c r="AL52" s="782"/>
      <c r="AM52" s="782"/>
      <c r="AN52" s="782"/>
      <c r="AO52" s="307"/>
      <c r="AP52" s="358"/>
      <c r="AQ52" s="179"/>
      <c r="AR52" s="180"/>
      <c r="AS52" s="180"/>
      <c r="AT52" s="80"/>
      <c r="AU52" s="80"/>
      <c r="AV52" s="183">
        <v>0.96</v>
      </c>
      <c r="AW52" s="185">
        <f t="shared" si="2"/>
        <v>0.54166666666666674</v>
      </c>
      <c r="AX52" s="201">
        <f t="shared" si="0"/>
        <v>0.54166666666666674</v>
      </c>
      <c r="AY52" s="187">
        <v>0.48</v>
      </c>
      <c r="AZ52" s="189">
        <f t="shared" si="3"/>
        <v>0.35053189088658915</v>
      </c>
      <c r="BA52" s="202">
        <f t="shared" si="1"/>
        <v>0.35053189088658915</v>
      </c>
      <c r="BB52" s="202">
        <f t="shared" si="5"/>
        <v>1.105</v>
      </c>
      <c r="BC52" s="206"/>
      <c r="BD52" s="392">
        <v>2.2000000000000002</v>
      </c>
      <c r="BE52" s="393">
        <f>((AK$26-BD$49)*(BF52-BD52)/(BF$49-BD$49))+BD52</f>
        <v>1.7999999999999998</v>
      </c>
      <c r="BF52" s="396">
        <v>2.1</v>
      </c>
      <c r="BG52" s="393">
        <f>((AK$26-BF$49)*(BH52-BF52)/(BH$49-BF$49))+BF52</f>
        <v>2.1</v>
      </c>
      <c r="BH52" s="396">
        <v>2.1</v>
      </c>
      <c r="BI52" s="393">
        <f>((AK$26-BH$49)*(BJ52-BH52)/(BJ$49-BH$49))+BH52</f>
        <v>2.1</v>
      </c>
      <c r="BJ52" s="396">
        <v>2.1</v>
      </c>
      <c r="BK52" s="393">
        <f>((AK$26-BJ$49)*(BL52-BJ52)/(BL$49-BJ$49))+BJ52</f>
        <v>2.1</v>
      </c>
      <c r="BL52" s="379">
        <v>2.1</v>
      </c>
      <c r="BM52" s="397" t="s">
        <v>115</v>
      </c>
      <c r="BN52" s="410">
        <v>3</v>
      </c>
      <c r="BO52" s="642"/>
      <c r="BS52" s="8"/>
      <c r="BT52" s="383"/>
      <c r="BU52" s="8"/>
      <c r="BV52" s="380"/>
      <c r="BW52" s="380"/>
      <c r="BX52" s="380"/>
      <c r="BY52" s="380"/>
      <c r="BZ52" s="380"/>
      <c r="CA52" s="380"/>
      <c r="CB52" s="205"/>
      <c r="CC52" s="205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</row>
    <row r="53" spans="2:183" s="76" customFormat="1" ht="12" customHeight="1">
      <c r="B53" s="313"/>
      <c r="C53" s="314"/>
      <c r="D53" s="270"/>
      <c r="E53" s="862">
        <f>AQ129</f>
        <v>6.6666666666666666E-2</v>
      </c>
      <c r="F53" s="862"/>
      <c r="G53" s="862"/>
      <c r="H53" s="271"/>
      <c r="I53" s="271"/>
      <c r="J53" s="271"/>
      <c r="K53" s="272"/>
      <c r="L53" s="272"/>
      <c r="M53" s="770">
        <f>AQ133</f>
        <v>1.12639</v>
      </c>
      <c r="N53" s="770"/>
      <c r="O53" s="273"/>
      <c r="P53" s="273"/>
      <c r="Q53" s="274"/>
      <c r="R53" s="274"/>
      <c r="S53" s="274"/>
      <c r="T53" s="45"/>
      <c r="U53" s="772" t="s">
        <v>89</v>
      </c>
      <c r="V53" s="772"/>
      <c r="W53" s="275"/>
      <c r="X53" s="275"/>
      <c r="Y53" s="276"/>
      <c r="Z53" s="276"/>
      <c r="AA53" s="277"/>
      <c r="AB53" s="277"/>
      <c r="AC53" s="277"/>
      <c r="AD53" s="277"/>
      <c r="AE53" s="837"/>
      <c r="AF53" s="46"/>
      <c r="AG53" s="47"/>
      <c r="AH53" s="47"/>
      <c r="AI53" s="44"/>
      <c r="AJ53" s="44"/>
      <c r="AK53" s="44"/>
      <c r="AL53" s="44"/>
      <c r="AM53" s="44"/>
      <c r="AN53" s="48"/>
      <c r="AO53" s="314"/>
      <c r="AP53" s="359"/>
      <c r="AQ53" s="179"/>
      <c r="AR53" s="180"/>
      <c r="AS53" s="180"/>
      <c r="AT53" s="80"/>
      <c r="AU53" s="80"/>
      <c r="AV53" s="183">
        <v>0.98</v>
      </c>
      <c r="AW53" s="185">
        <f t="shared" si="2"/>
        <v>0.53061224489795922</v>
      </c>
      <c r="AX53" s="201">
        <f t="shared" si="0"/>
        <v>0.53061224489795922</v>
      </c>
      <c r="AY53" s="187">
        <v>0.49</v>
      </c>
      <c r="AZ53" s="189">
        <f t="shared" si="3"/>
        <v>0.34576319246568915</v>
      </c>
      <c r="BA53" s="202">
        <f t="shared" si="1"/>
        <v>0.34576319246568915</v>
      </c>
      <c r="BB53" s="202">
        <f t="shared" si="5"/>
        <v>1.1087499999999999</v>
      </c>
      <c r="BC53" s="206"/>
      <c r="BD53" s="392">
        <v>3.3</v>
      </c>
      <c r="BE53" s="393">
        <f>((AK$26-BD$49)*(BF53-BD53)/(BF$49-BD$49))+BD53</f>
        <v>3.3</v>
      </c>
      <c r="BF53" s="396">
        <v>3.3</v>
      </c>
      <c r="BG53" s="393">
        <f>((AK$26-BF$49)*(BH53-BF53)/(BH$49-BF$49))+BF53</f>
        <v>3.0000000000000009</v>
      </c>
      <c r="BH53" s="396">
        <v>3.2</v>
      </c>
      <c r="BI53" s="393">
        <f>((AK$26-BH$49)*(BJ53-BH53)/(BJ$49-BH$49))+BH53</f>
        <v>2.3999999999999995</v>
      </c>
      <c r="BJ53" s="396">
        <v>2.8</v>
      </c>
      <c r="BK53" s="393">
        <f>((AK$26-BJ$49)*(BL53-BJ53)/(BL$49-BJ$49))+BJ53</f>
        <v>2.8</v>
      </c>
      <c r="BL53" s="379">
        <v>2.8</v>
      </c>
      <c r="BM53" s="397" t="s">
        <v>116</v>
      </c>
      <c r="BN53" s="410">
        <v>4</v>
      </c>
      <c r="BO53" s="642"/>
      <c r="BS53" s="8"/>
      <c r="BU53" s="8"/>
      <c r="BV53" s="8"/>
      <c r="BW53" s="8"/>
      <c r="BX53" s="8"/>
      <c r="BY53" s="8"/>
      <c r="BZ53" s="8"/>
      <c r="CA53" s="8"/>
      <c r="CC53" s="207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</row>
    <row r="54" spans="2:183" s="76" customFormat="1" ht="12" customHeight="1">
      <c r="B54" s="313"/>
      <c r="C54" s="314"/>
      <c r="D54" s="278"/>
      <c r="E54" s="863"/>
      <c r="F54" s="863"/>
      <c r="G54" s="863"/>
      <c r="H54" s="315"/>
      <c r="I54" s="315"/>
      <c r="J54" s="315"/>
      <c r="K54" s="316"/>
      <c r="L54" s="316"/>
      <c r="M54" s="771"/>
      <c r="N54" s="771"/>
      <c r="O54" s="317"/>
      <c r="P54" s="317"/>
      <c r="Q54" s="318"/>
      <c r="R54" s="318"/>
      <c r="S54" s="318"/>
      <c r="T54" s="319"/>
      <c r="U54" s="773"/>
      <c r="V54" s="773"/>
      <c r="W54" s="774" t="str">
        <f>IF(AQ103&gt;MIN(AK43,AA43),"û","")</f>
        <v/>
      </c>
      <c r="X54" s="774"/>
      <c r="Y54" s="835">
        <f>AQ137</f>
        <v>0.15350508190381729</v>
      </c>
      <c r="Z54" s="835"/>
      <c r="AA54" s="835"/>
      <c r="AB54" s="835"/>
      <c r="AC54" s="320"/>
      <c r="AD54" s="321"/>
      <c r="AE54" s="838"/>
      <c r="AF54" s="322"/>
      <c r="AG54" s="323"/>
      <c r="AH54" s="323"/>
      <c r="AI54" s="113"/>
      <c r="AJ54" s="113"/>
      <c r="AK54" s="113"/>
      <c r="AL54" s="113"/>
      <c r="AM54" s="113"/>
      <c r="AN54" s="279"/>
      <c r="AO54" s="314"/>
      <c r="AP54" s="359"/>
      <c r="AQ54" s="179"/>
      <c r="AR54" s="180"/>
      <c r="AS54" s="180"/>
      <c r="AT54" s="80"/>
      <c r="AU54" s="80"/>
      <c r="AV54" s="183">
        <v>1</v>
      </c>
      <c r="AW54" s="185">
        <f t="shared" si="2"/>
        <v>0.52</v>
      </c>
      <c r="AX54" s="201">
        <f t="shared" si="0"/>
        <v>0.52</v>
      </c>
      <c r="AY54" s="187">
        <v>0.5</v>
      </c>
      <c r="AZ54" s="189">
        <f t="shared" si="3"/>
        <v>0.3411343172047917</v>
      </c>
      <c r="BA54" s="202">
        <f t="shared" si="1"/>
        <v>0.3411343172047917</v>
      </c>
      <c r="BB54" s="202">
        <f t="shared" si="5"/>
        <v>1.1125</v>
      </c>
      <c r="BC54" s="181"/>
      <c r="BD54" s="392">
        <v>2.2000000000000002</v>
      </c>
      <c r="BE54" s="393">
        <f>((AK$26-BD$49)*(BF54-BD54)/(BF$49-BD$49))+BD54</f>
        <v>1.7999999999999998</v>
      </c>
      <c r="BF54" s="396">
        <v>2.1</v>
      </c>
      <c r="BG54" s="393">
        <f>((AK$26-BF$49)*(BH54-BF54)/(BH$49-BF$49))+BF54</f>
        <v>2.1</v>
      </c>
      <c r="BH54" s="396">
        <v>2.1</v>
      </c>
      <c r="BI54" s="393">
        <f>((AK$26-BH$49)*(BJ54-BH54)/(BJ$49-BH$49))+BH54</f>
        <v>2.1</v>
      </c>
      <c r="BJ54" s="396">
        <v>2.1</v>
      </c>
      <c r="BK54" s="393">
        <f>((AK$26-BJ$49)*(BL54-BJ54)/(BL$49-BJ$49))+BJ54</f>
        <v>2.1</v>
      </c>
      <c r="BL54" s="379">
        <v>2.1</v>
      </c>
      <c r="BM54" s="397" t="s">
        <v>117</v>
      </c>
      <c r="BN54" s="410">
        <v>5</v>
      </c>
      <c r="BO54" s="642"/>
      <c r="BS54" s="8"/>
      <c r="BU54" s="8"/>
      <c r="BV54" s="8"/>
      <c r="BW54" s="8"/>
      <c r="BX54" s="8"/>
      <c r="BY54" s="8"/>
      <c r="BZ54" s="8"/>
      <c r="CA54" s="8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</row>
    <row r="55" spans="2:183" s="76" customFormat="1" ht="12.6" customHeight="1" thickBot="1">
      <c r="B55" s="306"/>
      <c r="C55" s="307"/>
      <c r="D55" s="280"/>
      <c r="E55" s="863"/>
      <c r="F55" s="863"/>
      <c r="G55" s="863"/>
      <c r="H55" s="315"/>
      <c r="I55" s="315"/>
      <c r="J55" s="315"/>
      <c r="K55" s="316"/>
      <c r="L55" s="316"/>
      <c r="M55" s="771"/>
      <c r="N55" s="771"/>
      <c r="O55" s="317"/>
      <c r="P55" s="317"/>
      <c r="Q55" s="318"/>
      <c r="R55" s="318"/>
      <c r="S55" s="318"/>
      <c r="T55" s="319"/>
      <c r="U55" s="773"/>
      <c r="V55" s="773"/>
      <c r="W55" s="774"/>
      <c r="X55" s="774"/>
      <c r="Y55" s="835"/>
      <c r="Z55" s="835"/>
      <c r="AA55" s="835"/>
      <c r="AB55" s="835"/>
      <c r="AC55" s="320"/>
      <c r="AD55" s="321"/>
      <c r="AE55" s="838"/>
      <c r="AF55" s="322"/>
      <c r="AG55" s="323"/>
      <c r="AH55" s="323"/>
      <c r="AI55" s="110"/>
      <c r="AJ55" s="110"/>
      <c r="AK55" s="110"/>
      <c r="AL55" s="110"/>
      <c r="AM55" s="110"/>
      <c r="AN55" s="49"/>
      <c r="AO55" s="307"/>
      <c r="AP55" s="358"/>
      <c r="AQ55" s="179"/>
      <c r="AR55" s="180"/>
      <c r="AS55" s="180"/>
      <c r="AT55" s="80"/>
      <c r="AU55" s="80"/>
      <c r="AV55" s="183">
        <v>1.02</v>
      </c>
      <c r="AW55" s="185">
        <f t="shared" si="2"/>
        <v>0.50980392156862742</v>
      </c>
      <c r="AX55" s="201">
        <f t="shared" si="0"/>
        <v>0.50980392156862742</v>
      </c>
      <c r="AY55" s="187">
        <v>0.51</v>
      </c>
      <c r="AZ55" s="189">
        <f t="shared" si="3"/>
        <v>0.33663856925505203</v>
      </c>
      <c r="BA55" s="202">
        <f t="shared" si="1"/>
        <v>0.33663856925505203</v>
      </c>
      <c r="BB55" s="202">
        <f t="shared" si="5"/>
        <v>1.11625</v>
      </c>
      <c r="BC55" s="181"/>
      <c r="BD55" s="394" t="s">
        <v>126</v>
      </c>
      <c r="BE55" s="398" t="s">
        <v>126</v>
      </c>
      <c r="BF55" s="399" t="s">
        <v>126</v>
      </c>
      <c r="BG55" s="398" t="s">
        <v>126</v>
      </c>
      <c r="BH55" s="399" t="s">
        <v>126</v>
      </c>
      <c r="BI55" s="398" t="s">
        <v>126</v>
      </c>
      <c r="BJ55" s="399" t="s">
        <v>126</v>
      </c>
      <c r="BK55" s="398" t="s">
        <v>126</v>
      </c>
      <c r="BL55" s="378" t="s">
        <v>126</v>
      </c>
      <c r="BM55" s="399" t="s">
        <v>118</v>
      </c>
      <c r="BN55" s="411">
        <v>6</v>
      </c>
      <c r="BO55" s="642"/>
      <c r="BS55" s="8"/>
      <c r="BU55" s="8"/>
      <c r="BV55" s="8"/>
      <c r="BW55" s="8"/>
      <c r="BX55" s="8"/>
      <c r="BY55" s="8"/>
      <c r="BZ55" s="8"/>
      <c r="CA55" s="8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</row>
    <row r="56" spans="2:183" s="76" customFormat="1" ht="12.6" customHeight="1" thickBot="1">
      <c r="B56" s="324"/>
      <c r="C56" s="325"/>
      <c r="D56" s="864" t="str">
        <f>IF(T137&lt;AQ129," ضریب زلزله کمتر از حداقل بود، لذا ضریب زلزله حداقل درج گردید.","")</f>
        <v/>
      </c>
      <c r="E56" s="865"/>
      <c r="F56" s="865"/>
      <c r="G56" s="865"/>
      <c r="H56" s="865"/>
      <c r="I56" s="865"/>
      <c r="J56" s="865"/>
      <c r="K56" s="865"/>
      <c r="L56" s="865"/>
      <c r="M56" s="865"/>
      <c r="N56" s="865"/>
      <c r="O56" s="865"/>
      <c r="P56" s="865"/>
      <c r="Q56" s="865"/>
      <c r="R56" s="865"/>
      <c r="S56" s="865"/>
      <c r="T56" s="865"/>
      <c r="U56" s="865"/>
      <c r="V56" s="865"/>
      <c r="W56" s="865"/>
      <c r="X56" s="865"/>
      <c r="Y56" s="281"/>
      <c r="Z56" s="281"/>
      <c r="AA56" s="282"/>
      <c r="AB56" s="282"/>
      <c r="AC56" s="282"/>
      <c r="AD56" s="282"/>
      <c r="AE56" s="839"/>
      <c r="AF56" s="51"/>
      <c r="AG56" s="52"/>
      <c r="AH56" s="52"/>
      <c r="AI56" s="50"/>
      <c r="AJ56" s="50"/>
      <c r="AK56" s="50"/>
      <c r="AL56" s="50"/>
      <c r="AM56" s="50"/>
      <c r="AN56" s="53"/>
      <c r="AO56" s="307"/>
      <c r="AP56" s="358"/>
      <c r="AQ56" s="179"/>
      <c r="AR56" s="180"/>
      <c r="AS56" s="180"/>
      <c r="AT56" s="80"/>
      <c r="AU56" s="80"/>
      <c r="AV56" s="183">
        <v>1.04</v>
      </c>
      <c r="AW56" s="185">
        <f t="shared" si="2"/>
        <v>0.5</v>
      </c>
      <c r="AX56" s="201">
        <f t="shared" si="0"/>
        <v>0.5</v>
      </c>
      <c r="AY56" s="187">
        <v>0.52</v>
      </c>
      <c r="AZ56" s="189">
        <f t="shared" si="3"/>
        <v>0.33226969882452168</v>
      </c>
      <c r="BA56" s="202">
        <f t="shared" si="1"/>
        <v>0.33226969882452168</v>
      </c>
      <c r="BB56" s="202">
        <f t="shared" si="5"/>
        <v>1.1200000000000001</v>
      </c>
      <c r="BC56" s="181"/>
      <c r="BD56" s="6"/>
      <c r="BF56" s="6"/>
      <c r="BH56" s="6"/>
      <c r="BJ56" s="6"/>
      <c r="BL56" s="6"/>
      <c r="BM56" s="6"/>
      <c r="BN56" s="6"/>
      <c r="BO56" s="642"/>
      <c r="BS56" s="8"/>
      <c r="BU56" s="8"/>
      <c r="BV56" s="8"/>
      <c r="BW56" s="8"/>
      <c r="BX56" s="8"/>
      <c r="BY56" s="8"/>
      <c r="BZ56" s="8"/>
      <c r="CA56" s="8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</row>
    <row r="57" spans="2:183" s="76" customFormat="1" ht="12.6" customHeight="1">
      <c r="B57" s="324"/>
      <c r="C57" s="325"/>
      <c r="D57" s="849" t="str">
        <f>IF(AQ103&gt;MIN(AK43,AA43),"!  هشدار  !","")</f>
        <v/>
      </c>
      <c r="E57" s="849"/>
      <c r="F57" s="849"/>
      <c r="G57" s="849"/>
      <c r="H57" s="849" t="str">
        <f>IF(AND(AQ103&gt;AK43,OR(AQ103&lt;AA43,AQ103=AA43)),"دوره تناوب طراحی در جهت X بیشتر از دوره تناوب تحلیلی این جهت شده است.",IF(AND(AQ103&gt;AA43,OR(AQ103&lt;AK43,AQ103=AK43)),"دوره تناوب طراحی در جهت Y بیشتر از دوره تناوب تحلیلی این جهت شده است.",IF(AND(AQ103&gt;AK43,AQ103&gt;AA43),"دوره تناوب طراحی بیشتر از دوره تناوب‌های تحلیلی هر دو جهت است.","")))</f>
        <v/>
      </c>
      <c r="I57" s="849"/>
      <c r="J57" s="849"/>
      <c r="K57" s="849"/>
      <c r="L57" s="849"/>
      <c r="M57" s="849"/>
      <c r="N57" s="849"/>
      <c r="O57" s="849"/>
      <c r="P57" s="849"/>
      <c r="Q57" s="849"/>
      <c r="R57" s="849"/>
      <c r="S57" s="849"/>
      <c r="T57" s="849"/>
      <c r="U57" s="849"/>
      <c r="V57" s="849"/>
      <c r="W57" s="849"/>
      <c r="X57" s="849"/>
      <c r="Y57" s="849"/>
      <c r="Z57" s="849"/>
      <c r="AA57" s="849"/>
      <c r="AB57" s="849"/>
      <c r="AC57" s="849"/>
      <c r="AD57" s="849"/>
      <c r="AE57" s="849"/>
      <c r="AF57" s="849"/>
      <c r="AG57" s="849"/>
      <c r="AH57" s="849"/>
      <c r="AI57" s="849"/>
      <c r="AJ57" s="849"/>
      <c r="AK57" s="849" t="str">
        <f>IF(AQ103&gt;MIN(AK43,AA43),"!  هشدار  !","")</f>
        <v/>
      </c>
      <c r="AL57" s="849"/>
      <c r="AM57" s="849"/>
      <c r="AN57" s="849"/>
      <c r="AO57" s="307"/>
      <c r="AP57" s="358"/>
      <c r="AQ57" s="179"/>
      <c r="AR57" s="180"/>
      <c r="AS57" s="180"/>
      <c r="AT57" s="80"/>
      <c r="AU57" s="80"/>
      <c r="AV57" s="183">
        <v>1.06</v>
      </c>
      <c r="AW57" s="185">
        <f t="shared" si="2"/>
        <v>0.49056603773584906</v>
      </c>
      <c r="AX57" s="201">
        <f t="shared" si="0"/>
        <v>0.49056603773584906</v>
      </c>
      <c r="AY57" s="187">
        <v>0.53</v>
      </c>
      <c r="AZ57" s="189">
        <f t="shared" si="3"/>
        <v>0.32802186443232734</v>
      </c>
      <c r="BA57" s="202">
        <f t="shared" si="1"/>
        <v>0.32802186443232734</v>
      </c>
      <c r="BB57" s="202">
        <f t="shared" si="5"/>
        <v>1.12375</v>
      </c>
      <c r="BC57" s="181"/>
      <c r="BD57" s="6"/>
      <c r="BF57" s="6"/>
      <c r="BH57" s="6"/>
      <c r="BJ57" s="6"/>
      <c r="BL57" s="6"/>
      <c r="BM57" s="6"/>
      <c r="BN57" s="6"/>
      <c r="BS57" s="8"/>
      <c r="BU57" s="8"/>
      <c r="BV57" s="8"/>
      <c r="BW57" s="8"/>
      <c r="BX57" s="8"/>
      <c r="BY57" s="8"/>
      <c r="BZ57" s="8"/>
      <c r="CA57" s="8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</row>
    <row r="58" spans="2:183" s="76" customFormat="1" ht="12.6" customHeight="1" thickBot="1">
      <c r="B58" s="324"/>
      <c r="C58" s="325"/>
      <c r="D58" s="850"/>
      <c r="E58" s="850"/>
      <c r="F58" s="850"/>
      <c r="G58" s="850"/>
      <c r="H58" s="850"/>
      <c r="I58" s="850"/>
      <c r="J58" s="850"/>
      <c r="K58" s="850"/>
      <c r="L58" s="850"/>
      <c r="M58" s="850"/>
      <c r="N58" s="850"/>
      <c r="O58" s="850"/>
      <c r="P58" s="850"/>
      <c r="Q58" s="850"/>
      <c r="R58" s="850"/>
      <c r="S58" s="850"/>
      <c r="T58" s="850"/>
      <c r="U58" s="850"/>
      <c r="V58" s="850"/>
      <c r="W58" s="850"/>
      <c r="X58" s="850"/>
      <c r="Y58" s="850"/>
      <c r="Z58" s="850"/>
      <c r="AA58" s="850"/>
      <c r="AB58" s="850"/>
      <c r="AC58" s="850"/>
      <c r="AD58" s="850"/>
      <c r="AE58" s="850"/>
      <c r="AF58" s="850"/>
      <c r="AG58" s="850"/>
      <c r="AH58" s="850"/>
      <c r="AI58" s="850"/>
      <c r="AJ58" s="850"/>
      <c r="AK58" s="850"/>
      <c r="AL58" s="850"/>
      <c r="AM58" s="850"/>
      <c r="AN58" s="850"/>
      <c r="AO58" s="326"/>
      <c r="AP58" s="360"/>
      <c r="AQ58" s="179"/>
      <c r="AR58" s="180"/>
      <c r="AS58" s="180"/>
      <c r="AT58" s="80"/>
      <c r="AU58" s="80"/>
      <c r="AV58" s="183">
        <v>1.08</v>
      </c>
      <c r="AW58" s="185">
        <f t="shared" si="2"/>
        <v>0.48148148148148145</v>
      </c>
      <c r="AX58" s="201">
        <f t="shared" si="0"/>
        <v>0.48148148148148145</v>
      </c>
      <c r="AY58" s="187">
        <v>0.54</v>
      </c>
      <c r="AZ58" s="189">
        <f t="shared" si="3"/>
        <v>0.32388959900688297</v>
      </c>
      <c r="BA58" s="202">
        <f t="shared" si="1"/>
        <v>0.32388959900688297</v>
      </c>
      <c r="BB58" s="202">
        <f t="shared" si="5"/>
        <v>1.1274999999999999</v>
      </c>
      <c r="BC58" s="181"/>
      <c r="BD58" s="376"/>
      <c r="BE58" s="78"/>
      <c r="BF58" s="376"/>
      <c r="BG58" s="78"/>
      <c r="BH58" s="376"/>
      <c r="BI58" s="78"/>
      <c r="BJ58" s="376"/>
      <c r="BK58" s="78"/>
      <c r="BL58" s="376"/>
      <c r="BM58" s="6"/>
      <c r="BN58" s="6"/>
      <c r="BS58" s="8"/>
      <c r="BU58" s="8"/>
      <c r="BV58" s="8"/>
      <c r="BW58" s="8"/>
      <c r="BX58" s="8"/>
      <c r="BY58" s="8"/>
      <c r="BZ58" s="8"/>
      <c r="CA58" s="8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</row>
    <row r="59" spans="2:183" s="76" customFormat="1" ht="12.6" customHeight="1" thickTop="1">
      <c r="B59" s="327"/>
      <c r="C59" s="328"/>
      <c r="D59" s="759" t="s">
        <v>234</v>
      </c>
      <c r="E59" s="759"/>
      <c r="F59" s="759"/>
      <c r="G59" s="759"/>
      <c r="H59" s="759"/>
      <c r="I59" s="759"/>
      <c r="J59" s="759"/>
      <c r="K59" s="759"/>
      <c r="L59" s="759"/>
      <c r="M59" s="759"/>
      <c r="N59" s="759"/>
      <c r="O59" s="759"/>
      <c r="P59" s="759"/>
      <c r="Q59" s="759"/>
      <c r="R59" s="759"/>
      <c r="S59" s="759"/>
      <c r="T59" s="759"/>
      <c r="U59" s="759"/>
      <c r="V59" s="759"/>
      <c r="W59" s="759"/>
      <c r="X59" s="759"/>
      <c r="Y59" s="759"/>
      <c r="Z59" s="759"/>
      <c r="AA59" s="759"/>
      <c r="AB59" s="759"/>
      <c r="AC59" s="759"/>
      <c r="AD59" s="759"/>
      <c r="AE59" s="759"/>
      <c r="AF59" s="759"/>
      <c r="AG59" s="759"/>
      <c r="AH59" s="759"/>
      <c r="AI59" s="759"/>
      <c r="AJ59" s="759"/>
      <c r="AK59" s="759"/>
      <c r="AL59" s="759"/>
      <c r="AM59" s="759"/>
      <c r="AN59" s="759"/>
      <c r="AO59" s="759"/>
      <c r="AP59" s="361"/>
      <c r="AQ59" s="179"/>
      <c r="AR59" s="180"/>
      <c r="AS59" s="180"/>
      <c r="AT59" s="80"/>
      <c r="AU59" s="80"/>
      <c r="AV59" s="183">
        <v>1.1000000000000001</v>
      </c>
      <c r="AW59" s="185">
        <f t="shared" si="2"/>
        <v>0.47272727272727272</v>
      </c>
      <c r="AX59" s="201">
        <f t="shared" si="0"/>
        <v>0.47272727272727272</v>
      </c>
      <c r="AY59" s="187">
        <v>0.55000000000000004</v>
      </c>
      <c r="AZ59" s="189">
        <f t="shared" si="3"/>
        <v>0.3198677793731724</v>
      </c>
      <c r="BA59" s="202">
        <f t="shared" si="1"/>
        <v>0.3198677793731724</v>
      </c>
      <c r="BB59" s="202">
        <f t="shared" si="5"/>
        <v>1.1312500000000001</v>
      </c>
      <c r="BC59" s="181"/>
      <c r="BD59" s="6"/>
      <c r="BF59" s="6"/>
      <c r="BH59" s="6"/>
      <c r="BJ59" s="6"/>
      <c r="BL59" s="6"/>
      <c r="BM59" s="6"/>
      <c r="BN59" s="6"/>
      <c r="BS59" s="8"/>
      <c r="BU59" s="8"/>
      <c r="BV59" s="8"/>
      <c r="BW59" s="8"/>
      <c r="BX59" s="8"/>
      <c r="BY59" s="8"/>
      <c r="BZ59" s="8"/>
      <c r="CA59" s="8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</row>
    <row r="60" spans="2:183" s="76" customFormat="1" ht="12.6" customHeight="1" thickBot="1">
      <c r="B60" s="327"/>
      <c r="C60" s="328"/>
      <c r="D60" s="760"/>
      <c r="E60" s="760"/>
      <c r="F60" s="760"/>
      <c r="G60" s="760"/>
      <c r="H60" s="760"/>
      <c r="I60" s="760"/>
      <c r="J60" s="760"/>
      <c r="K60" s="760"/>
      <c r="L60" s="760"/>
      <c r="M60" s="760"/>
      <c r="N60" s="760"/>
      <c r="O60" s="760"/>
      <c r="P60" s="760"/>
      <c r="Q60" s="760"/>
      <c r="R60" s="760"/>
      <c r="S60" s="760"/>
      <c r="T60" s="760"/>
      <c r="U60" s="760"/>
      <c r="V60" s="760"/>
      <c r="W60" s="760"/>
      <c r="X60" s="760"/>
      <c r="Y60" s="760"/>
      <c r="Z60" s="760"/>
      <c r="AA60" s="760"/>
      <c r="AB60" s="760"/>
      <c r="AC60" s="760"/>
      <c r="AD60" s="760"/>
      <c r="AE60" s="760"/>
      <c r="AF60" s="760"/>
      <c r="AG60" s="760"/>
      <c r="AH60" s="760"/>
      <c r="AI60" s="760"/>
      <c r="AJ60" s="760"/>
      <c r="AK60" s="760"/>
      <c r="AL60" s="760"/>
      <c r="AM60" s="760"/>
      <c r="AN60" s="760"/>
      <c r="AO60" s="760"/>
      <c r="AP60" s="361"/>
      <c r="AQ60" s="179"/>
      <c r="AR60" s="180"/>
      <c r="AS60" s="180"/>
      <c r="AT60" s="80"/>
      <c r="AU60" s="80"/>
      <c r="AV60" s="183">
        <v>1.1200000000000001</v>
      </c>
      <c r="AW60" s="185">
        <f t="shared" si="2"/>
        <v>0.46428571428571425</v>
      </c>
      <c r="AX60" s="201">
        <f t="shared" si="0"/>
        <v>0.46428571428571425</v>
      </c>
      <c r="AY60" s="187">
        <v>0.56000000000000005</v>
      </c>
      <c r="AZ60" s="189">
        <f t="shared" si="3"/>
        <v>0.31595159873520862</v>
      </c>
      <c r="BA60" s="202">
        <f t="shared" si="1"/>
        <v>0.31595159873520862</v>
      </c>
      <c r="BB60" s="202">
        <f t="shared" si="5"/>
        <v>1.135</v>
      </c>
      <c r="BC60" s="181"/>
      <c r="BS60" s="8"/>
      <c r="BU60" s="8"/>
      <c r="BV60" s="8"/>
      <c r="BW60" s="8"/>
      <c r="BX60" s="8"/>
      <c r="BY60" s="8"/>
      <c r="BZ60" s="8"/>
      <c r="CA60" s="8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</row>
    <row r="61" spans="2:183" s="76" customFormat="1" ht="12.6" customHeight="1">
      <c r="B61" s="327"/>
      <c r="C61" s="328"/>
      <c r="D61" s="843">
        <f>D152</f>
        <v>1.25</v>
      </c>
      <c r="E61" s="844"/>
      <c r="F61" s="844"/>
      <c r="G61" s="283"/>
      <c r="H61" s="283"/>
      <c r="I61" s="283"/>
      <c r="J61" s="283"/>
      <c r="K61" s="284"/>
      <c r="L61" s="284"/>
      <c r="M61" s="924" t="str">
        <f>N152</f>
        <v/>
      </c>
      <c r="N61" s="924"/>
      <c r="O61" s="840">
        <f>Q152</f>
        <v>0.11555555555555556</v>
      </c>
      <c r="P61" s="840"/>
      <c r="Q61" s="840"/>
      <c r="R61" s="840"/>
      <c r="S61" s="840"/>
      <c r="T61" s="55"/>
      <c r="U61" s="56"/>
      <c r="V61" s="54"/>
      <c r="W61" s="54"/>
      <c r="X61" s="54"/>
      <c r="Y61" s="54"/>
      <c r="Z61" s="285"/>
      <c r="AA61" s="285"/>
      <c r="AB61" s="57"/>
      <c r="AC61" s="924" t="str">
        <f>AD152</f>
        <v/>
      </c>
      <c r="AD61" s="924"/>
      <c r="AE61" s="628">
        <f>AF152</f>
        <v>0.11555555555555556</v>
      </c>
      <c r="AF61" s="628"/>
      <c r="AG61" s="628"/>
      <c r="AH61" s="628"/>
      <c r="AI61" s="54"/>
      <c r="AJ61" s="54"/>
      <c r="AK61" s="54"/>
      <c r="AL61" s="54"/>
      <c r="AM61" s="54"/>
      <c r="AN61" s="59"/>
      <c r="AO61" s="329"/>
      <c r="AP61" s="361"/>
      <c r="AQ61" s="179"/>
      <c r="AR61" s="180"/>
      <c r="AS61" s="180"/>
      <c r="AT61" s="80"/>
      <c r="AU61" s="80"/>
      <c r="AV61" s="183">
        <v>1.1399999999999999</v>
      </c>
      <c r="AW61" s="185">
        <f t="shared" si="2"/>
        <v>0.45614035087719301</v>
      </c>
      <c r="AX61" s="201">
        <f t="shared" si="0"/>
        <v>0.45614035087719301</v>
      </c>
      <c r="AY61" s="187">
        <v>0.56999999999999995</v>
      </c>
      <c r="AZ61" s="189">
        <f t="shared" si="3"/>
        <v>0.3121365418117224</v>
      </c>
      <c r="BA61" s="202">
        <f t="shared" si="1"/>
        <v>0.3121365418117224</v>
      </c>
      <c r="BB61" s="202">
        <f t="shared" si="5"/>
        <v>1.1387499999999999</v>
      </c>
      <c r="BC61" s="181"/>
      <c r="BS61" s="8"/>
      <c r="BU61" s="8"/>
      <c r="BV61" s="8"/>
      <c r="BW61" s="8"/>
      <c r="BX61" s="8"/>
      <c r="BY61" s="8"/>
      <c r="BZ61" s="8"/>
      <c r="CA61" s="8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</row>
    <row r="62" spans="2:183" s="76" customFormat="1" ht="12.6" customHeight="1">
      <c r="B62" s="327"/>
      <c r="C62" s="328"/>
      <c r="D62" s="845"/>
      <c r="E62" s="846"/>
      <c r="F62" s="846"/>
      <c r="G62" s="330"/>
      <c r="H62" s="330"/>
      <c r="I62" s="330"/>
      <c r="J62" s="330"/>
      <c r="K62" s="331"/>
      <c r="L62" s="331"/>
      <c r="M62" s="925"/>
      <c r="N62" s="925"/>
      <c r="O62" s="841"/>
      <c r="P62" s="841"/>
      <c r="Q62" s="841"/>
      <c r="R62" s="841"/>
      <c r="S62" s="841"/>
      <c r="T62" s="332"/>
      <c r="U62" s="333"/>
      <c r="V62" s="120"/>
      <c r="W62" s="120"/>
      <c r="X62" s="120"/>
      <c r="Y62" s="120"/>
      <c r="Z62" s="334"/>
      <c r="AA62" s="334"/>
      <c r="AB62" s="335"/>
      <c r="AC62" s="925"/>
      <c r="AD62" s="925"/>
      <c r="AE62" s="836"/>
      <c r="AF62" s="836"/>
      <c r="AG62" s="836"/>
      <c r="AH62" s="836"/>
      <c r="AI62" s="120"/>
      <c r="AJ62" s="120"/>
      <c r="AK62" s="120"/>
      <c r="AL62" s="120"/>
      <c r="AM62" s="120"/>
      <c r="AN62" s="286"/>
      <c r="AO62" s="329"/>
      <c r="AP62" s="361"/>
      <c r="AQ62" s="179"/>
      <c r="AR62" s="180"/>
      <c r="AS62" s="180"/>
      <c r="AT62" s="80"/>
      <c r="AU62" s="80"/>
      <c r="AV62" s="183">
        <v>1.1599999999999999</v>
      </c>
      <c r="AW62" s="185">
        <f t="shared" si="2"/>
        <v>0.44827586206896558</v>
      </c>
      <c r="AX62" s="201">
        <f t="shared" si="0"/>
        <v>0.44827586206896558</v>
      </c>
      <c r="AY62" s="187">
        <v>0.57999999999999996</v>
      </c>
      <c r="AZ62" s="189">
        <f t="shared" si="3"/>
        <v>0.30841836232743935</v>
      </c>
      <c r="BA62" s="202">
        <f t="shared" si="1"/>
        <v>0.30841836232743935</v>
      </c>
      <c r="BB62" s="202">
        <f t="shared" si="5"/>
        <v>1.1425000000000001</v>
      </c>
      <c r="BC62" s="181"/>
      <c r="BS62" s="8"/>
      <c r="BU62" s="8"/>
      <c r="BV62" s="8"/>
      <c r="BW62" s="8"/>
      <c r="BX62" s="8"/>
      <c r="BY62" s="8"/>
      <c r="BZ62" s="8"/>
      <c r="CA62" s="8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</row>
    <row r="63" spans="2:183" s="76" customFormat="1" ht="12.6" customHeight="1" thickBot="1">
      <c r="B63" s="327"/>
      <c r="C63" s="328"/>
      <c r="D63" s="847"/>
      <c r="E63" s="848"/>
      <c r="F63" s="848"/>
      <c r="G63" s="287"/>
      <c r="H63" s="287"/>
      <c r="I63" s="287"/>
      <c r="J63" s="287"/>
      <c r="K63" s="288"/>
      <c r="L63" s="288"/>
      <c r="M63" s="926"/>
      <c r="N63" s="926"/>
      <c r="O63" s="842"/>
      <c r="P63" s="842"/>
      <c r="Q63" s="842"/>
      <c r="R63" s="842"/>
      <c r="S63" s="842"/>
      <c r="T63" s="62"/>
      <c r="U63" s="63"/>
      <c r="V63" s="60"/>
      <c r="W63" s="60"/>
      <c r="X63" s="60"/>
      <c r="Y63" s="64"/>
      <c r="Z63" s="64"/>
      <c r="AA63" s="64"/>
      <c r="AB63" s="65"/>
      <c r="AC63" s="926"/>
      <c r="AD63" s="926"/>
      <c r="AE63" s="629"/>
      <c r="AF63" s="629"/>
      <c r="AG63" s="629"/>
      <c r="AH63" s="629"/>
      <c r="AI63" s="60"/>
      <c r="AJ63" s="60"/>
      <c r="AK63" s="60"/>
      <c r="AL63" s="60"/>
      <c r="AM63" s="60"/>
      <c r="AN63" s="67"/>
      <c r="AO63" s="329"/>
      <c r="AP63" s="361"/>
      <c r="AQ63" s="179"/>
      <c r="AR63" s="180"/>
      <c r="AS63" s="180"/>
      <c r="AT63" s="80"/>
      <c r="AU63" s="80"/>
      <c r="AV63" s="183">
        <v>1.18</v>
      </c>
      <c r="AW63" s="185">
        <f t="shared" si="2"/>
        <v>0.44067796610169496</v>
      </c>
      <c r="AX63" s="201">
        <f t="shared" si="0"/>
        <v>0.44067796610169496</v>
      </c>
      <c r="AY63" s="187">
        <v>0.59</v>
      </c>
      <c r="AZ63" s="189">
        <f t="shared" si="3"/>
        <v>0.30479306260021577</v>
      </c>
      <c r="BA63" s="202">
        <f t="shared" si="1"/>
        <v>0.30479306260021577</v>
      </c>
      <c r="BB63" s="202">
        <f t="shared" si="5"/>
        <v>1.14625</v>
      </c>
      <c r="BC63" s="181"/>
      <c r="BS63" s="222"/>
      <c r="BT63" s="80"/>
      <c r="BU63" s="8"/>
      <c r="BV63" s="8"/>
      <c r="BW63" s="8"/>
      <c r="BX63" s="8"/>
      <c r="BY63" s="8"/>
      <c r="BZ63" s="8"/>
      <c r="CA63" s="8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</row>
    <row r="64" spans="2:183" s="76" customFormat="1" ht="12.6" customHeight="1">
      <c r="B64" s="327"/>
      <c r="C64" s="328"/>
      <c r="D64" s="695" t="str">
        <f>E154</f>
        <v/>
      </c>
      <c r="E64" s="695"/>
      <c r="F64" s="695"/>
      <c r="G64" s="695"/>
      <c r="H64" s="695" t="str">
        <f>I154</f>
        <v/>
      </c>
      <c r="I64" s="695"/>
      <c r="J64" s="695"/>
      <c r="K64" s="695"/>
      <c r="L64" s="695"/>
      <c r="M64" s="695"/>
      <c r="N64" s="695"/>
      <c r="O64" s="695"/>
      <c r="P64" s="695"/>
      <c r="Q64" s="695"/>
      <c r="R64" s="695"/>
      <c r="S64" s="695"/>
      <c r="T64" s="695"/>
      <c r="U64" s="695"/>
      <c r="V64" s="695"/>
      <c r="W64" s="695"/>
      <c r="X64" s="695"/>
      <c r="Y64" s="695"/>
      <c r="Z64" s="695"/>
      <c r="AA64" s="695"/>
      <c r="AB64" s="695"/>
      <c r="AC64" s="695"/>
      <c r="AD64" s="695"/>
      <c r="AE64" s="695"/>
      <c r="AF64" s="695"/>
      <c r="AG64" s="695"/>
      <c r="AH64" s="695"/>
      <c r="AI64" s="695"/>
      <c r="AJ64" s="695"/>
      <c r="AK64" s="695" t="str">
        <f>AL154</f>
        <v/>
      </c>
      <c r="AL64" s="695"/>
      <c r="AM64" s="695"/>
      <c r="AN64" s="695"/>
      <c r="AO64" s="329"/>
      <c r="AP64" s="361"/>
      <c r="AQ64" s="179"/>
      <c r="AR64" s="180"/>
      <c r="AS64" s="180"/>
      <c r="AT64" s="80"/>
      <c r="AU64" s="80"/>
      <c r="AV64" s="183">
        <v>1.2</v>
      </c>
      <c r="AW64" s="185">
        <f t="shared" si="2"/>
        <v>0.43333333333333335</v>
      </c>
      <c r="AX64" s="201">
        <f t="shared" si="0"/>
        <v>0.43333333333333335</v>
      </c>
      <c r="AY64" s="187">
        <v>0.6</v>
      </c>
      <c r="AZ64" s="189">
        <f t="shared" si="3"/>
        <v>0.30125687499682341</v>
      </c>
      <c r="BA64" s="202">
        <f t="shared" si="1"/>
        <v>0.30125687499682341</v>
      </c>
      <c r="BB64" s="202">
        <f t="shared" si="5"/>
        <v>1.1499999999999999</v>
      </c>
      <c r="BC64" s="181"/>
      <c r="BR64" s="76" t="s">
        <v>112</v>
      </c>
      <c r="BS64" s="8"/>
      <c r="BU64" s="8"/>
      <c r="BV64" s="8"/>
      <c r="BW64" s="8"/>
      <c r="BX64" s="8"/>
      <c r="BY64" s="8"/>
      <c r="BZ64" s="8"/>
      <c r="CA64" s="8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</row>
    <row r="65" spans="2:183" s="76" customFormat="1" ht="12.6" customHeight="1" thickBot="1">
      <c r="B65" s="327"/>
      <c r="C65" s="328"/>
      <c r="D65" s="696"/>
      <c r="E65" s="696"/>
      <c r="F65" s="696"/>
      <c r="G65" s="696"/>
      <c r="H65" s="696"/>
      <c r="I65" s="696"/>
      <c r="J65" s="696"/>
      <c r="K65" s="696"/>
      <c r="L65" s="696"/>
      <c r="M65" s="696"/>
      <c r="N65" s="696"/>
      <c r="O65" s="696"/>
      <c r="P65" s="696"/>
      <c r="Q65" s="696"/>
      <c r="R65" s="696"/>
      <c r="S65" s="696"/>
      <c r="T65" s="696"/>
      <c r="U65" s="696"/>
      <c r="V65" s="696"/>
      <c r="W65" s="696"/>
      <c r="X65" s="696"/>
      <c r="Y65" s="696"/>
      <c r="Z65" s="696"/>
      <c r="AA65" s="696"/>
      <c r="AB65" s="696"/>
      <c r="AC65" s="696"/>
      <c r="AD65" s="696"/>
      <c r="AE65" s="696"/>
      <c r="AF65" s="696"/>
      <c r="AG65" s="696"/>
      <c r="AH65" s="696"/>
      <c r="AI65" s="696"/>
      <c r="AJ65" s="696"/>
      <c r="AK65" s="696"/>
      <c r="AL65" s="696"/>
      <c r="AM65" s="696"/>
      <c r="AN65" s="696"/>
      <c r="AO65" s="329"/>
      <c r="AP65" s="361"/>
      <c r="AQ65" s="179"/>
      <c r="AR65" s="180"/>
      <c r="AS65" s="180"/>
      <c r="AT65" s="80"/>
      <c r="AU65" s="80"/>
      <c r="AV65" s="183">
        <v>1.22</v>
      </c>
      <c r="AW65" s="185">
        <f t="shared" si="2"/>
        <v>0.42622950819672134</v>
      </c>
      <c r="AX65" s="201">
        <f t="shared" si="0"/>
        <v>0.42622950819672134</v>
      </c>
      <c r="AY65" s="187">
        <v>0.61</v>
      </c>
      <c r="AZ65" s="189">
        <f t="shared" si="3"/>
        <v>0.29935985636714096</v>
      </c>
      <c r="BA65" s="202">
        <f t="shared" si="1"/>
        <v>0.29935985636714096</v>
      </c>
      <c r="BB65" s="202">
        <f t="shared" si="5"/>
        <v>1.1537500000000001</v>
      </c>
      <c r="BC65" s="181"/>
      <c r="BS65" s="8"/>
      <c r="BU65" s="8"/>
      <c r="BV65" s="8"/>
      <c r="BW65" s="8"/>
      <c r="BX65" s="8"/>
      <c r="BY65" s="8"/>
      <c r="BZ65" s="8"/>
      <c r="CA65" s="8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</row>
    <row r="66" spans="2:183" s="76" customFormat="1" ht="12.6" customHeight="1">
      <c r="B66" s="327"/>
      <c r="C66" s="328"/>
      <c r="D66" s="843">
        <f>D160</f>
        <v>1.5</v>
      </c>
      <c r="E66" s="844"/>
      <c r="F66" s="844"/>
      <c r="G66" s="283"/>
      <c r="H66" s="283"/>
      <c r="I66" s="283"/>
      <c r="J66" s="283"/>
      <c r="K66" s="284"/>
      <c r="L66" s="284"/>
      <c r="M66" s="924" t="str">
        <f>N160</f>
        <v/>
      </c>
      <c r="N66" s="924"/>
      <c r="O66" s="840">
        <f>P160</f>
        <v>7.7037037037037043E-2</v>
      </c>
      <c r="P66" s="840"/>
      <c r="Q66" s="840"/>
      <c r="R66" s="840"/>
      <c r="S66" s="840"/>
      <c r="T66" s="55"/>
      <c r="U66" s="56"/>
      <c r="V66" s="54"/>
      <c r="W66" s="54"/>
      <c r="X66" s="54"/>
      <c r="Y66" s="54"/>
      <c r="Z66" s="285"/>
      <c r="AA66" s="285"/>
      <c r="AB66" s="57"/>
      <c r="AC66" s="924" t="str">
        <f>AD160</f>
        <v/>
      </c>
      <c r="AD66" s="924"/>
      <c r="AE66" s="628">
        <f>AF160</f>
        <v>7.7037037037037043E-2</v>
      </c>
      <c r="AF66" s="628"/>
      <c r="AG66" s="628"/>
      <c r="AH66" s="628"/>
      <c r="AI66" s="54"/>
      <c r="AJ66" s="54"/>
      <c r="AK66" s="54"/>
      <c r="AL66" s="54"/>
      <c r="AM66" s="54"/>
      <c r="AN66" s="59"/>
      <c r="AO66" s="329"/>
      <c r="AP66" s="361"/>
      <c r="AQ66" s="179"/>
      <c r="AR66" s="180"/>
      <c r="AS66" s="180"/>
      <c r="AT66" s="80"/>
      <c r="AU66" s="80"/>
      <c r="AV66" s="183">
        <v>1.24</v>
      </c>
      <c r="AW66" s="185">
        <f t="shared" si="2"/>
        <v>0.41935483870967744</v>
      </c>
      <c r="AX66" s="201">
        <f t="shared" si="0"/>
        <v>0.41935483870967744</v>
      </c>
      <c r="AY66" s="187">
        <v>0.62</v>
      </c>
      <c r="AZ66" s="189">
        <f t="shared" si="3"/>
        <v>0.29839000802037918</v>
      </c>
      <c r="BA66" s="202">
        <f t="shared" si="1"/>
        <v>0.29839000802037918</v>
      </c>
      <c r="BB66" s="202">
        <f t="shared" si="5"/>
        <v>1.1575</v>
      </c>
      <c r="BC66" s="181"/>
      <c r="BS66" s="8"/>
      <c r="BU66" s="8"/>
      <c r="BV66" s="8"/>
      <c r="BW66" s="8"/>
      <c r="BX66" s="8"/>
      <c r="BY66" s="8"/>
      <c r="BZ66" s="8"/>
      <c r="CA66" s="8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</row>
    <row r="67" spans="2:183" s="76" customFormat="1" ht="12.6" customHeight="1">
      <c r="B67" s="327"/>
      <c r="C67" s="328"/>
      <c r="D67" s="845"/>
      <c r="E67" s="846"/>
      <c r="F67" s="846"/>
      <c r="G67" s="330"/>
      <c r="H67" s="330"/>
      <c r="I67" s="330"/>
      <c r="J67" s="330"/>
      <c r="K67" s="331"/>
      <c r="L67" s="331"/>
      <c r="M67" s="925"/>
      <c r="N67" s="925"/>
      <c r="O67" s="841"/>
      <c r="P67" s="841"/>
      <c r="Q67" s="841"/>
      <c r="R67" s="841"/>
      <c r="S67" s="841"/>
      <c r="T67" s="332"/>
      <c r="U67" s="333"/>
      <c r="V67" s="120"/>
      <c r="W67" s="120"/>
      <c r="X67" s="120"/>
      <c r="Y67" s="120"/>
      <c r="Z67" s="334"/>
      <c r="AA67" s="334"/>
      <c r="AB67" s="335"/>
      <c r="AC67" s="925"/>
      <c r="AD67" s="925"/>
      <c r="AE67" s="836"/>
      <c r="AF67" s="836"/>
      <c r="AG67" s="836"/>
      <c r="AH67" s="836"/>
      <c r="AI67" s="120"/>
      <c r="AJ67" s="120"/>
      <c r="AK67" s="120"/>
      <c r="AL67" s="120"/>
      <c r="AM67" s="120"/>
      <c r="AN67" s="286"/>
      <c r="AO67" s="329"/>
      <c r="AP67" s="361"/>
      <c r="AQ67" s="179"/>
      <c r="AR67" s="180"/>
      <c r="AS67" s="180"/>
      <c r="AT67" s="80"/>
      <c r="AU67" s="80"/>
      <c r="AV67" s="183">
        <v>1.26</v>
      </c>
      <c r="AW67" s="185">
        <f t="shared" si="2"/>
        <v>0.41269841269841273</v>
      </c>
      <c r="AX67" s="201">
        <f t="shared" si="0"/>
        <v>0.41269841269841273</v>
      </c>
      <c r="AY67" s="187">
        <v>0.63</v>
      </c>
      <c r="AZ67" s="189">
        <f t="shared" si="3"/>
        <v>0.29742642349501736</v>
      </c>
      <c r="BA67" s="202">
        <f t="shared" si="1"/>
        <v>0.29742642349501736</v>
      </c>
      <c r="BB67" s="202">
        <f t="shared" si="5"/>
        <v>1.1612499999999999</v>
      </c>
      <c r="BC67" s="181"/>
      <c r="BS67" s="8"/>
      <c r="BU67" s="8"/>
      <c r="BV67" s="8"/>
      <c r="BW67" s="8"/>
      <c r="BX67" s="8"/>
      <c r="BY67" s="8"/>
      <c r="BZ67" s="8"/>
      <c r="CA67" s="8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</row>
    <row r="68" spans="2:183" s="76" customFormat="1" ht="12.6" customHeight="1" thickBot="1">
      <c r="B68" s="327"/>
      <c r="C68" s="328"/>
      <c r="D68" s="847"/>
      <c r="E68" s="848"/>
      <c r="F68" s="848"/>
      <c r="G68" s="287"/>
      <c r="H68" s="287"/>
      <c r="I68" s="287"/>
      <c r="J68" s="287"/>
      <c r="K68" s="288"/>
      <c r="L68" s="288"/>
      <c r="M68" s="926"/>
      <c r="N68" s="926"/>
      <c r="O68" s="842"/>
      <c r="P68" s="842"/>
      <c r="Q68" s="842"/>
      <c r="R68" s="842"/>
      <c r="S68" s="842"/>
      <c r="T68" s="62"/>
      <c r="U68" s="63"/>
      <c r="V68" s="60"/>
      <c r="W68" s="60"/>
      <c r="X68" s="60"/>
      <c r="Y68" s="64"/>
      <c r="Z68" s="64"/>
      <c r="AA68" s="64"/>
      <c r="AB68" s="65"/>
      <c r="AC68" s="926"/>
      <c r="AD68" s="926"/>
      <c r="AE68" s="629"/>
      <c r="AF68" s="629"/>
      <c r="AG68" s="629"/>
      <c r="AH68" s="629"/>
      <c r="AI68" s="60"/>
      <c r="AJ68" s="60"/>
      <c r="AK68" s="60"/>
      <c r="AL68" s="60"/>
      <c r="AM68" s="60"/>
      <c r="AN68" s="67"/>
      <c r="AO68" s="173"/>
      <c r="AP68" s="361"/>
      <c r="AQ68" s="179"/>
      <c r="AR68" s="180"/>
      <c r="AS68" s="180"/>
      <c r="AT68" s="80"/>
      <c r="AU68" s="80"/>
      <c r="AV68" s="183">
        <v>1.28</v>
      </c>
      <c r="AW68" s="185">
        <f t="shared" si="2"/>
        <v>0.40625</v>
      </c>
      <c r="AX68" s="201">
        <f t="shared" ref="AX68:AX131" si="6">IF(AND(OR(AV68&gt;0,AV68=0),OR(AV68&lt;AQ$96,AV68=AQ$96)),(AQ$92*(0.4+(0.6*AV68/AQ$96))),IF(AND(AV68&gt;AQ$96,OR(AV68&lt;AQ$98,AV68=AQ$98)),AQ$92,IF(AND(AV68&gt;AQ$98,AV68&lt;AQ$100),(AQ$94/AV68),IF(OR(AV68&gt;AQ$100,AV68=AQ$100),(AQ$94*AQ$100/(AV68*AV68)),"Error"))))</f>
        <v>0.40625</v>
      </c>
      <c r="AY68" s="187">
        <v>0.64</v>
      </c>
      <c r="AZ68" s="189">
        <f t="shared" si="3"/>
        <v>0.29646904230350979</v>
      </c>
      <c r="BA68" s="202">
        <f t="shared" ref="BA68:BA131" si="7">IF(OR(AY68&lt;0.025,AY68=0.025),0.65*AI$179*(AJ$108/BB68),IF(AND(AY68&gt;0.025,OR(AY68&lt;0.05,AY68=0.05)),(16*AI$179*(AJ$108/BB68)*(AY68-0.025))+(0.65*AI$179*(AJ$108/BB68)),IF(AND(AY68&gt;0.05,OR(AY68&lt;0.1,AY68=0.1)),1.05*AI$179*AJ$108/BB68,IF(AND(AY68&gt;0.1,OR(AY68&lt;2,AY68=2)),MAX(0.5*AJ$108/BB68,(1.05*AI$179*AJ$108/BB68)*((0.1/AY68)^0.5)),IF(AY68&gt;2,0.5*AJ$108/BB68,"Error")))))</f>
        <v>0.29646904230350979</v>
      </c>
      <c r="BB68" s="202">
        <f t="shared" si="5"/>
        <v>1.165</v>
      </c>
      <c r="BC68" s="181"/>
      <c r="BS68" s="8"/>
      <c r="BU68" s="8"/>
      <c r="BV68" s="8"/>
      <c r="BW68" s="8"/>
      <c r="BX68" s="8"/>
      <c r="BY68" s="8"/>
      <c r="BZ68" s="8"/>
      <c r="CA68" s="8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</row>
    <row r="69" spans="2:183" s="76" customFormat="1" ht="12.6" customHeight="1">
      <c r="B69" s="327"/>
      <c r="C69" s="328"/>
      <c r="D69" s="695" t="str">
        <f>D162</f>
        <v/>
      </c>
      <c r="E69" s="695"/>
      <c r="F69" s="695"/>
      <c r="G69" s="695"/>
      <c r="H69" s="695" t="str">
        <f>I162</f>
        <v/>
      </c>
      <c r="I69" s="695"/>
      <c r="J69" s="695"/>
      <c r="K69" s="695"/>
      <c r="L69" s="695"/>
      <c r="M69" s="695"/>
      <c r="N69" s="695"/>
      <c r="O69" s="695"/>
      <c r="P69" s="695"/>
      <c r="Q69" s="695"/>
      <c r="R69" s="695"/>
      <c r="S69" s="695"/>
      <c r="T69" s="695"/>
      <c r="U69" s="695"/>
      <c r="V69" s="695"/>
      <c r="W69" s="695"/>
      <c r="X69" s="695"/>
      <c r="Y69" s="695"/>
      <c r="Z69" s="695"/>
      <c r="AA69" s="695"/>
      <c r="AB69" s="695"/>
      <c r="AC69" s="695"/>
      <c r="AD69" s="695"/>
      <c r="AE69" s="695"/>
      <c r="AF69" s="695"/>
      <c r="AG69" s="695"/>
      <c r="AH69" s="695"/>
      <c r="AI69" s="695"/>
      <c r="AJ69" s="695"/>
      <c r="AK69" s="896" t="str">
        <f>AL162</f>
        <v/>
      </c>
      <c r="AL69" s="695"/>
      <c r="AM69" s="695"/>
      <c r="AN69" s="695"/>
      <c r="AO69" s="329"/>
      <c r="AP69" s="361"/>
      <c r="AQ69" s="179"/>
      <c r="AR69" s="180"/>
      <c r="AS69" s="180"/>
      <c r="AT69" s="80"/>
      <c r="AU69" s="80"/>
      <c r="AV69" s="183">
        <v>1.3</v>
      </c>
      <c r="AW69" s="185">
        <f t="shared" ref="AW69:AW132" si="8">AX69</f>
        <v>0.4</v>
      </c>
      <c r="AX69" s="201">
        <f t="shared" si="6"/>
        <v>0.4</v>
      </c>
      <c r="AY69" s="187">
        <v>0.65</v>
      </c>
      <c r="AZ69" s="189">
        <f t="shared" ref="AZ69:AZ132" si="9">BA69</f>
        <v>0.29551780473462153</v>
      </c>
      <c r="BA69" s="202">
        <f t="shared" si="7"/>
        <v>0.29551780473462153</v>
      </c>
      <c r="BB69" s="202">
        <f t="shared" si="5"/>
        <v>1.16875</v>
      </c>
      <c r="BC69" s="181"/>
      <c r="BS69" s="8"/>
      <c r="BU69" s="8"/>
      <c r="BV69" s="8"/>
      <c r="BW69" s="8"/>
      <c r="BX69" s="8"/>
      <c r="BY69" s="8"/>
      <c r="BZ69" s="8"/>
      <c r="CA69" s="8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</row>
    <row r="70" spans="2:183" s="76" customFormat="1" ht="12.6" customHeight="1">
      <c r="B70" s="327"/>
      <c r="C70" s="328"/>
      <c r="D70" s="703"/>
      <c r="E70" s="703"/>
      <c r="F70" s="703"/>
      <c r="G70" s="703"/>
      <c r="H70" s="703"/>
      <c r="I70" s="703"/>
      <c r="J70" s="703"/>
      <c r="K70" s="703"/>
      <c r="L70" s="703"/>
      <c r="M70" s="703"/>
      <c r="N70" s="703"/>
      <c r="O70" s="703"/>
      <c r="P70" s="703"/>
      <c r="Q70" s="703"/>
      <c r="R70" s="703"/>
      <c r="S70" s="703"/>
      <c r="T70" s="703"/>
      <c r="U70" s="703"/>
      <c r="V70" s="703"/>
      <c r="W70" s="703"/>
      <c r="X70" s="703"/>
      <c r="Y70" s="703"/>
      <c r="Z70" s="703"/>
      <c r="AA70" s="703"/>
      <c r="AB70" s="703"/>
      <c r="AC70" s="703"/>
      <c r="AD70" s="703"/>
      <c r="AE70" s="703"/>
      <c r="AF70" s="703"/>
      <c r="AG70" s="703"/>
      <c r="AH70" s="703"/>
      <c r="AI70" s="703"/>
      <c r="AJ70" s="703"/>
      <c r="AK70" s="703"/>
      <c r="AL70" s="703"/>
      <c r="AM70" s="703"/>
      <c r="AN70" s="703"/>
      <c r="AO70" s="329"/>
      <c r="AP70" s="361"/>
      <c r="AQ70" s="179"/>
      <c r="AR70" s="180"/>
      <c r="AS70" s="180"/>
      <c r="AT70" s="80"/>
      <c r="AU70" s="80"/>
      <c r="AV70" s="183">
        <v>1.32</v>
      </c>
      <c r="AW70" s="185">
        <f t="shared" si="8"/>
        <v>0.39393939393939392</v>
      </c>
      <c r="AX70" s="201">
        <f t="shared" si="6"/>
        <v>0.39393939393939392</v>
      </c>
      <c r="AY70" s="187">
        <v>0.66</v>
      </c>
      <c r="AZ70" s="189">
        <f t="shared" si="9"/>
        <v>0.29457265184101394</v>
      </c>
      <c r="BA70" s="202">
        <f t="shared" si="7"/>
        <v>0.29457265184101394</v>
      </c>
      <c r="BB70" s="202">
        <f t="shared" si="5"/>
        <v>1.1725000000000001</v>
      </c>
      <c r="BC70" s="181"/>
      <c r="BS70" s="8"/>
      <c r="BU70" s="8"/>
      <c r="BV70" s="8"/>
      <c r="BW70" s="8"/>
      <c r="BX70" s="8"/>
      <c r="BY70" s="8"/>
      <c r="BZ70" s="8"/>
      <c r="CA70" s="8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</row>
    <row r="71" spans="2:183" s="76" customFormat="1" ht="11.4" customHeight="1">
      <c r="B71" s="336"/>
      <c r="C71" s="174"/>
      <c r="D71" s="704" t="s">
        <v>236</v>
      </c>
      <c r="E71" s="704"/>
      <c r="F71" s="704"/>
      <c r="G71" s="704"/>
      <c r="H71" s="704"/>
      <c r="I71" s="704"/>
      <c r="J71" s="704"/>
      <c r="K71" s="704"/>
      <c r="L71" s="704"/>
      <c r="M71" s="704"/>
      <c r="N71" s="704"/>
      <c r="O71" s="704"/>
      <c r="P71" s="704"/>
      <c r="Q71" s="704"/>
      <c r="R71" s="704"/>
      <c r="S71" s="704"/>
      <c r="T71" s="704"/>
      <c r="U71" s="704"/>
      <c r="V71" s="704"/>
      <c r="W71" s="704"/>
      <c r="X71" s="704"/>
      <c r="Y71" s="704"/>
      <c r="Z71" s="704"/>
      <c r="AA71" s="704"/>
      <c r="AB71" s="704"/>
      <c r="AC71" s="704"/>
      <c r="AD71" s="704"/>
      <c r="AE71" s="704"/>
      <c r="AF71" s="704"/>
      <c r="AG71" s="704"/>
      <c r="AH71" s="704"/>
      <c r="AI71" s="704"/>
      <c r="AJ71" s="704"/>
      <c r="AK71" s="704"/>
      <c r="AL71" s="704"/>
      <c r="AM71" s="704"/>
      <c r="AN71" s="704"/>
      <c r="AO71" s="704"/>
      <c r="AP71" s="362"/>
      <c r="AQ71" s="179"/>
      <c r="AR71" s="180"/>
      <c r="AS71" s="180"/>
      <c r="AT71" s="80"/>
      <c r="AU71" s="80"/>
      <c r="AV71" s="183">
        <v>1.34</v>
      </c>
      <c r="AW71" s="185">
        <f t="shared" si="8"/>
        <v>0.38805970149253732</v>
      </c>
      <c r="AX71" s="201">
        <f t="shared" si="6"/>
        <v>0.38805970149253732</v>
      </c>
      <c r="AY71" s="187">
        <v>0.67</v>
      </c>
      <c r="AZ71" s="189">
        <f t="shared" si="9"/>
        <v>0.29363352542706811</v>
      </c>
      <c r="BA71" s="202">
        <f t="shared" si="7"/>
        <v>0.29363352542706811</v>
      </c>
      <c r="BB71" s="202">
        <f t="shared" si="5"/>
        <v>1.17625</v>
      </c>
      <c r="BC71" s="181"/>
      <c r="BS71" s="8"/>
      <c r="BU71" s="8"/>
      <c r="BV71" s="8"/>
      <c r="BW71" s="8"/>
      <c r="BX71" s="8"/>
      <c r="BY71" s="8"/>
      <c r="BZ71" s="8"/>
      <c r="CA71" s="8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</row>
    <row r="72" spans="2:183" s="76" customFormat="1" ht="11.4" customHeight="1">
      <c r="B72" s="337"/>
      <c r="C72" s="338"/>
      <c r="D72" s="705"/>
      <c r="E72" s="705"/>
      <c r="F72" s="705"/>
      <c r="G72" s="705"/>
      <c r="H72" s="705"/>
      <c r="I72" s="705"/>
      <c r="J72" s="705"/>
      <c r="K72" s="705"/>
      <c r="L72" s="705"/>
      <c r="M72" s="705"/>
      <c r="N72" s="705"/>
      <c r="O72" s="705"/>
      <c r="P72" s="705"/>
      <c r="Q72" s="705"/>
      <c r="R72" s="705"/>
      <c r="S72" s="705"/>
      <c r="T72" s="705"/>
      <c r="U72" s="705"/>
      <c r="V72" s="705"/>
      <c r="W72" s="705"/>
      <c r="X72" s="705"/>
      <c r="Y72" s="705"/>
      <c r="Z72" s="705"/>
      <c r="AA72" s="705"/>
      <c r="AB72" s="705"/>
      <c r="AC72" s="705"/>
      <c r="AD72" s="705"/>
      <c r="AE72" s="705"/>
      <c r="AF72" s="705"/>
      <c r="AG72" s="705"/>
      <c r="AH72" s="705"/>
      <c r="AI72" s="705"/>
      <c r="AJ72" s="705"/>
      <c r="AK72" s="705"/>
      <c r="AL72" s="705"/>
      <c r="AM72" s="705"/>
      <c r="AN72" s="705"/>
      <c r="AO72" s="705"/>
      <c r="AP72" s="363"/>
      <c r="AQ72" s="179"/>
      <c r="AR72" s="180"/>
      <c r="AS72" s="180"/>
      <c r="AT72" s="80"/>
      <c r="AU72" s="80"/>
      <c r="AV72" s="183">
        <v>1.36</v>
      </c>
      <c r="AW72" s="185">
        <f t="shared" si="8"/>
        <v>0.38235294117647056</v>
      </c>
      <c r="AX72" s="201">
        <f t="shared" si="6"/>
        <v>0.38235294117647056</v>
      </c>
      <c r="AY72" s="187">
        <v>0.68</v>
      </c>
      <c r="AZ72" s="189">
        <f t="shared" si="9"/>
        <v>0.29270036803693977</v>
      </c>
      <c r="BA72" s="202">
        <f t="shared" si="7"/>
        <v>0.29270036803693977</v>
      </c>
      <c r="BB72" s="202">
        <f t="shared" ref="BB72:BB135" si="10">IF(OR(AY72&lt;0.2,AY72=0.2),1,IF(AND(AY72&gt;0.2,OR(AY72&lt;1,AY72=1)),(1+(0.375*(AY72-0.2))),IF(AND(AY72&gt;1,OR(AY72&lt;10,AY72=10)),1.3,"Error")))</f>
        <v>1.18</v>
      </c>
      <c r="BC72" s="181"/>
      <c r="BS72" s="8"/>
      <c r="BU72" s="8"/>
      <c r="BV72" s="8"/>
      <c r="BW72" s="8"/>
      <c r="BX72" s="8"/>
      <c r="BY72" s="8"/>
      <c r="BZ72" s="8"/>
      <c r="CA72" s="8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</row>
    <row r="73" spans="2:183" s="76" customFormat="1" ht="12.6" customHeight="1">
      <c r="B73" s="337"/>
      <c r="C73" s="338"/>
      <c r="D73" s="338"/>
      <c r="E73" s="338"/>
      <c r="F73" s="338"/>
      <c r="G73" s="706">
        <f>AD168</f>
        <v>0.58500000000000008</v>
      </c>
      <c r="H73" s="706"/>
      <c r="I73" s="706"/>
      <c r="J73" s="339"/>
      <c r="K73" s="339"/>
      <c r="L73" s="339"/>
      <c r="M73" s="340"/>
      <c r="N73" s="341"/>
      <c r="O73" s="341"/>
      <c r="P73" s="341"/>
      <c r="Q73" s="341"/>
      <c r="R73" s="342"/>
      <c r="S73" s="342"/>
      <c r="T73" s="342"/>
      <c r="U73" s="342"/>
      <c r="V73" s="338"/>
      <c r="W73" s="338"/>
      <c r="X73" s="338"/>
      <c r="Y73" s="338"/>
      <c r="Z73" s="338"/>
      <c r="AA73" s="338"/>
      <c r="AB73" s="338"/>
      <c r="AC73" s="706">
        <f>X166</f>
        <v>0.18000000000000002</v>
      </c>
      <c r="AD73" s="706"/>
      <c r="AE73" s="706"/>
      <c r="AF73" s="339"/>
      <c r="AG73" s="338"/>
      <c r="AH73" s="338"/>
      <c r="AI73" s="338"/>
      <c r="AJ73" s="338"/>
      <c r="AK73" s="338"/>
      <c r="AL73" s="338"/>
      <c r="AM73" s="338"/>
      <c r="AN73" s="338"/>
      <c r="AO73" s="338"/>
      <c r="AP73" s="363"/>
      <c r="AQ73" s="179"/>
      <c r="AR73" s="180"/>
      <c r="AS73" s="180"/>
      <c r="AT73" s="80"/>
      <c r="AU73" s="80"/>
      <c r="AV73" s="183">
        <v>1.38</v>
      </c>
      <c r="AW73" s="185">
        <f t="shared" si="8"/>
        <v>0.37681159420289861</v>
      </c>
      <c r="AX73" s="201">
        <f t="shared" si="6"/>
        <v>0.37681159420289861</v>
      </c>
      <c r="AY73" s="187">
        <v>0.69</v>
      </c>
      <c r="AZ73" s="189">
        <f t="shared" si="9"/>
        <v>0.29177312294284174</v>
      </c>
      <c r="BA73" s="202">
        <f t="shared" si="7"/>
        <v>0.29177312294284174</v>
      </c>
      <c r="BB73" s="202">
        <f t="shared" si="10"/>
        <v>1.1837499999999999</v>
      </c>
      <c r="BC73" s="181"/>
      <c r="BS73" s="8"/>
      <c r="BU73" s="8"/>
      <c r="BV73" s="8"/>
      <c r="BW73" s="8"/>
      <c r="BX73" s="8"/>
      <c r="BY73" s="8"/>
      <c r="BZ73" s="8"/>
      <c r="CA73" s="8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</row>
    <row r="74" spans="2:183" s="76" customFormat="1" ht="12.6" customHeight="1">
      <c r="B74" s="337"/>
      <c r="C74" s="338"/>
      <c r="D74" s="338"/>
      <c r="E74" s="338"/>
      <c r="F74" s="338"/>
      <c r="G74" s="706"/>
      <c r="H74" s="706"/>
      <c r="I74" s="706"/>
      <c r="J74" s="339"/>
      <c r="K74" s="339"/>
      <c r="L74" s="339"/>
      <c r="M74" s="340"/>
      <c r="N74" s="341"/>
      <c r="O74" s="341"/>
      <c r="P74" s="341"/>
      <c r="Q74" s="341"/>
      <c r="R74" s="342"/>
      <c r="S74" s="342"/>
      <c r="T74" s="342"/>
      <c r="U74" s="342"/>
      <c r="V74" s="338"/>
      <c r="W74" s="338"/>
      <c r="X74" s="338"/>
      <c r="Y74" s="338"/>
      <c r="Z74" s="338"/>
      <c r="AA74" s="338"/>
      <c r="AB74" s="338"/>
      <c r="AC74" s="706"/>
      <c r="AD74" s="706"/>
      <c r="AE74" s="706"/>
      <c r="AF74" s="339"/>
      <c r="AG74" s="338"/>
      <c r="AH74" s="338"/>
      <c r="AI74" s="338"/>
      <c r="AJ74" s="338"/>
      <c r="AK74" s="338"/>
      <c r="AL74" s="338"/>
      <c r="AM74" s="338"/>
      <c r="AN74" s="338"/>
      <c r="AO74" s="338"/>
      <c r="AP74" s="363"/>
      <c r="AQ74" s="179"/>
      <c r="AR74" s="180"/>
      <c r="AS74" s="180"/>
      <c r="AT74" s="80"/>
      <c r="AU74" s="80"/>
      <c r="AV74" s="183">
        <v>1.4</v>
      </c>
      <c r="AW74" s="185">
        <f t="shared" si="8"/>
        <v>0.37142857142857144</v>
      </c>
      <c r="AX74" s="201">
        <f t="shared" si="6"/>
        <v>0.37142857142857144</v>
      </c>
      <c r="AY74" s="187">
        <v>0.7</v>
      </c>
      <c r="AZ74" s="189">
        <f t="shared" si="9"/>
        <v>0.29085173413354853</v>
      </c>
      <c r="BA74" s="202">
        <f t="shared" si="7"/>
        <v>0.29085173413354853</v>
      </c>
      <c r="BB74" s="202">
        <f t="shared" si="10"/>
        <v>1.1875</v>
      </c>
      <c r="BC74" s="181"/>
      <c r="BS74" s="8"/>
      <c r="BU74" s="8"/>
      <c r="BV74" s="8"/>
      <c r="BW74" s="8"/>
      <c r="BX74" s="8"/>
      <c r="BY74" s="8"/>
      <c r="BZ74" s="8"/>
      <c r="CA74" s="8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</row>
    <row r="75" spans="2:183" s="76" customFormat="1" ht="12.6" customHeight="1">
      <c r="B75" s="337"/>
      <c r="C75" s="338"/>
      <c r="D75" s="338"/>
      <c r="E75" s="916" t="s">
        <v>237</v>
      </c>
      <c r="F75" s="916"/>
      <c r="G75" s="916"/>
      <c r="H75" s="916"/>
      <c r="I75" s="916"/>
      <c r="J75" s="916"/>
      <c r="K75" s="916"/>
      <c r="L75" s="916"/>
      <c r="M75" s="916"/>
      <c r="N75" s="916"/>
      <c r="O75" s="916"/>
      <c r="P75" s="916"/>
      <c r="Q75" s="916"/>
      <c r="R75" s="916"/>
      <c r="S75" s="916"/>
      <c r="T75" s="916"/>
      <c r="U75" s="916"/>
      <c r="V75" s="916"/>
      <c r="W75" s="916"/>
      <c r="X75" s="916"/>
      <c r="Y75" s="918" t="str">
        <f>IF(OR(AK24&gt;1.15,AK26&gt;0.5),"بایستی","نیاز به")</f>
        <v>بایستی</v>
      </c>
      <c r="Z75" s="918"/>
      <c r="AA75" s="918"/>
      <c r="AB75" s="343"/>
      <c r="AC75" s="343"/>
      <c r="AD75" s="920" t="str">
        <f>IF(OR(AK24&gt;1.15,AK26&gt;0.5),"در نظر گرفته شود.","نیست.")</f>
        <v>در نظر گرفته شود.</v>
      </c>
      <c r="AE75" s="920"/>
      <c r="AF75" s="920"/>
      <c r="AG75" s="920"/>
      <c r="AH75" s="920"/>
      <c r="AI75" s="920"/>
      <c r="AJ75" s="920"/>
      <c r="AK75" s="343"/>
      <c r="AL75" s="343"/>
      <c r="AM75" s="343"/>
      <c r="AN75" s="338"/>
      <c r="AO75" s="338"/>
      <c r="AP75" s="363"/>
      <c r="AQ75" s="179"/>
      <c r="AR75" s="180"/>
      <c r="AS75" s="180"/>
      <c r="AT75" s="80"/>
      <c r="AU75" s="80"/>
      <c r="AV75" s="183">
        <v>1.42</v>
      </c>
      <c r="AW75" s="185">
        <f t="shared" si="8"/>
        <v>0.36619718309859156</v>
      </c>
      <c r="AX75" s="201">
        <f t="shared" si="6"/>
        <v>0.36619718309859156</v>
      </c>
      <c r="AY75" s="187">
        <v>0.71</v>
      </c>
      <c r="AZ75" s="189">
        <f t="shared" si="9"/>
        <v>0.28993614630311765</v>
      </c>
      <c r="BA75" s="202">
        <f t="shared" si="7"/>
        <v>0.28993614630311765</v>
      </c>
      <c r="BB75" s="202">
        <f t="shared" si="10"/>
        <v>1.1912499999999999</v>
      </c>
      <c r="BC75" s="181"/>
      <c r="BS75" s="8"/>
      <c r="BU75" s="8"/>
      <c r="BV75" s="8"/>
      <c r="BW75" s="8"/>
      <c r="BX75" s="8"/>
      <c r="BY75" s="8"/>
      <c r="BZ75" s="8"/>
      <c r="CA75" s="8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</row>
    <row r="76" spans="2:183" s="76" customFormat="1" ht="12.6" customHeight="1" thickBot="1">
      <c r="B76" s="344"/>
      <c r="C76" s="345"/>
      <c r="D76" s="345"/>
      <c r="E76" s="917"/>
      <c r="F76" s="917"/>
      <c r="G76" s="917"/>
      <c r="H76" s="917"/>
      <c r="I76" s="917"/>
      <c r="J76" s="917"/>
      <c r="K76" s="917"/>
      <c r="L76" s="917"/>
      <c r="M76" s="917"/>
      <c r="N76" s="917"/>
      <c r="O76" s="917"/>
      <c r="P76" s="917"/>
      <c r="Q76" s="917"/>
      <c r="R76" s="917"/>
      <c r="S76" s="917"/>
      <c r="T76" s="917"/>
      <c r="U76" s="917"/>
      <c r="V76" s="917"/>
      <c r="W76" s="917"/>
      <c r="X76" s="917"/>
      <c r="Y76" s="919"/>
      <c r="Z76" s="919"/>
      <c r="AA76" s="919"/>
      <c r="AB76" s="346"/>
      <c r="AC76" s="346"/>
      <c r="AD76" s="921"/>
      <c r="AE76" s="921"/>
      <c r="AF76" s="921"/>
      <c r="AG76" s="921"/>
      <c r="AH76" s="921"/>
      <c r="AI76" s="921"/>
      <c r="AJ76" s="921"/>
      <c r="AK76" s="346"/>
      <c r="AL76" s="346"/>
      <c r="AM76" s="346"/>
      <c r="AN76" s="345"/>
      <c r="AO76" s="345"/>
      <c r="AP76" s="364"/>
      <c r="AQ76" s="179"/>
      <c r="AR76" s="180"/>
      <c r="AS76" s="180"/>
      <c r="AT76" s="80"/>
      <c r="AU76" s="80"/>
      <c r="AV76" s="183">
        <v>1.44</v>
      </c>
      <c r="AW76" s="185">
        <f t="shared" si="8"/>
        <v>0.36111111111111116</v>
      </c>
      <c r="AX76" s="201">
        <f t="shared" si="6"/>
        <v>0.36111111111111116</v>
      </c>
      <c r="AY76" s="187">
        <v>0.72</v>
      </c>
      <c r="AZ76" s="189">
        <f t="shared" si="9"/>
        <v>0.28902630483982333</v>
      </c>
      <c r="BA76" s="202">
        <f t="shared" si="7"/>
        <v>0.28902630483982333</v>
      </c>
      <c r="BB76" s="202">
        <f t="shared" si="10"/>
        <v>1.1950000000000001</v>
      </c>
      <c r="BC76" s="181"/>
      <c r="BS76" s="8"/>
      <c r="BU76" s="8"/>
      <c r="BV76" s="8"/>
      <c r="BW76" s="8"/>
      <c r="BX76" s="8"/>
      <c r="BY76" s="8"/>
      <c r="BZ76" s="8"/>
      <c r="CA76" s="8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</row>
    <row r="77" spans="2:183" s="76" customFormat="1" ht="13.8" customHeight="1">
      <c r="B77" s="678" t="str">
        <f>AJ9</f>
        <v>Ver: 2.0.0</v>
      </c>
      <c r="C77" s="678"/>
      <c r="D77" s="678"/>
      <c r="E77" s="678"/>
      <c r="F77" s="678"/>
      <c r="G77" s="678"/>
      <c r="H77" s="678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6"/>
      <c r="Z77" s="176"/>
      <c r="AA77" s="176"/>
      <c r="AB77" s="93"/>
      <c r="AC77" s="93"/>
      <c r="AD77" s="177"/>
      <c r="AE77" s="177"/>
      <c r="AF77" s="177"/>
      <c r="AG77" s="177"/>
      <c r="AH77" s="177"/>
      <c r="AI77" s="678" t="s">
        <v>248</v>
      </c>
      <c r="AJ77" s="678"/>
      <c r="AK77" s="678"/>
      <c r="AL77" s="678"/>
      <c r="AM77" s="678"/>
      <c r="AN77" s="678"/>
      <c r="AO77" s="678"/>
      <c r="AP77" s="678"/>
      <c r="AQ77" s="179"/>
      <c r="AR77" s="180"/>
      <c r="AS77" s="180"/>
      <c r="AT77" s="80"/>
      <c r="AU77" s="80"/>
      <c r="AV77" s="183">
        <v>1.46</v>
      </c>
      <c r="AW77" s="185">
        <f t="shared" si="8"/>
        <v>0.35616438356164387</v>
      </c>
      <c r="AX77" s="201">
        <f t="shared" si="6"/>
        <v>0.35616438356164387</v>
      </c>
      <c r="AY77" s="187">
        <v>0.73</v>
      </c>
      <c r="AZ77" s="189">
        <f t="shared" si="9"/>
        <v>0.28812215581529838</v>
      </c>
      <c r="BA77" s="202">
        <f t="shared" si="7"/>
        <v>0.28812215581529838</v>
      </c>
      <c r="BB77" s="202">
        <f t="shared" si="10"/>
        <v>1.19875</v>
      </c>
      <c r="BC77" s="181"/>
      <c r="BS77" s="8"/>
      <c r="BU77" s="8"/>
      <c r="BV77" s="8"/>
      <c r="BW77" s="8"/>
      <c r="BX77" s="8"/>
      <c r="BY77" s="8"/>
      <c r="BZ77" s="8"/>
      <c r="CA77" s="8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</row>
    <row r="78" spans="2:183" s="76" customFormat="1" ht="12" customHeight="1">
      <c r="B78" s="8"/>
      <c r="C78" s="8"/>
      <c r="D78" s="75"/>
      <c r="E78" s="75"/>
      <c r="F78" s="75"/>
      <c r="G78" s="75"/>
      <c r="H78" s="75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6"/>
      <c r="AQ78" s="179"/>
      <c r="AR78" s="180"/>
      <c r="AS78" s="180"/>
      <c r="AT78" s="80"/>
      <c r="AU78" s="80"/>
      <c r="AV78" s="183">
        <v>1.48</v>
      </c>
      <c r="AW78" s="185">
        <f t="shared" si="8"/>
        <v>0.35135135135135137</v>
      </c>
      <c r="AX78" s="201">
        <f t="shared" si="6"/>
        <v>0.35135135135135137</v>
      </c>
      <c r="AY78" s="187">
        <v>0.74</v>
      </c>
      <c r="AZ78" s="189">
        <f t="shared" si="9"/>
        <v>0.28722364597387845</v>
      </c>
      <c r="BA78" s="202">
        <f t="shared" si="7"/>
        <v>0.28722364597387845</v>
      </c>
      <c r="BB78" s="202">
        <f t="shared" si="10"/>
        <v>1.2025000000000001</v>
      </c>
      <c r="BC78" s="181"/>
      <c r="BS78" s="8"/>
      <c r="BU78" s="8"/>
      <c r="BV78" s="8"/>
      <c r="BW78" s="8"/>
      <c r="BX78" s="8"/>
      <c r="BY78" s="8"/>
      <c r="BZ78" s="8"/>
      <c r="CA78" s="8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</row>
    <row r="79" spans="2:183" s="76" customFormat="1" ht="12" customHeight="1">
      <c r="B79" s="788" t="s">
        <v>321</v>
      </c>
      <c r="C79" s="788"/>
      <c r="D79" s="788"/>
      <c r="E79" s="788"/>
      <c r="F79" s="788"/>
      <c r="G79" s="788"/>
      <c r="H79" s="788"/>
      <c r="I79" s="788"/>
      <c r="J79" s="788"/>
      <c r="K79" s="788"/>
      <c r="L79" s="788"/>
      <c r="M79" s="788"/>
      <c r="N79" s="788"/>
      <c r="O79" s="788"/>
      <c r="P79" s="788"/>
      <c r="Q79" s="788"/>
      <c r="R79" s="788"/>
      <c r="S79" s="788"/>
      <c r="T79" s="788"/>
      <c r="U79" s="788"/>
      <c r="V79" s="788"/>
      <c r="W79" s="788"/>
      <c r="X79" s="788"/>
      <c r="Y79" s="788"/>
      <c r="Z79" s="788"/>
      <c r="AA79" s="788"/>
      <c r="AB79" s="788"/>
      <c r="AC79" s="788"/>
      <c r="AD79" s="788"/>
      <c r="AE79" s="788"/>
      <c r="AF79" s="788"/>
      <c r="AG79" s="788"/>
      <c r="AH79" s="788"/>
      <c r="AI79" s="788"/>
      <c r="AJ79" s="788"/>
      <c r="AK79" s="788"/>
      <c r="AL79" s="788"/>
      <c r="AM79" s="788"/>
      <c r="AN79" s="788"/>
      <c r="AO79" s="788"/>
      <c r="AP79" s="788"/>
      <c r="AQ79" s="178"/>
      <c r="AR79" s="180"/>
      <c r="AS79" s="180"/>
      <c r="AT79" s="80"/>
      <c r="AU79" s="80"/>
      <c r="AV79" s="183">
        <v>1.5</v>
      </c>
      <c r="AW79" s="185">
        <f t="shared" si="8"/>
        <v>0.34666666666666668</v>
      </c>
      <c r="AX79" s="201">
        <f t="shared" si="6"/>
        <v>0.34666666666666668</v>
      </c>
      <c r="AY79" s="187">
        <v>0.75</v>
      </c>
      <c r="AZ79" s="189">
        <f t="shared" si="9"/>
        <v>0.28633072272214621</v>
      </c>
      <c r="BA79" s="202">
        <f t="shared" si="7"/>
        <v>0.28633072272214621</v>
      </c>
      <c r="BB79" s="202">
        <f t="shared" si="10"/>
        <v>1.20625</v>
      </c>
      <c r="BC79" s="181"/>
      <c r="BS79" s="8"/>
      <c r="BU79" s="8"/>
      <c r="BV79" s="8"/>
      <c r="BW79" s="8"/>
      <c r="BX79" s="8"/>
      <c r="BY79" s="8"/>
      <c r="BZ79" s="8"/>
      <c r="CA79" s="8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</row>
    <row r="80" spans="2:183" s="76" customFormat="1" ht="12" customHeight="1" thickBot="1">
      <c r="B80" s="621"/>
      <c r="C80" s="621"/>
      <c r="D80" s="621"/>
      <c r="E80" s="621"/>
      <c r="F80" s="621"/>
      <c r="G80" s="621"/>
      <c r="H80" s="621"/>
      <c r="I80" s="621"/>
      <c r="J80" s="621"/>
      <c r="K80" s="621"/>
      <c r="L80" s="621"/>
      <c r="M80" s="621"/>
      <c r="N80" s="621"/>
      <c r="O80" s="621"/>
      <c r="P80" s="621"/>
      <c r="Q80" s="621"/>
      <c r="R80" s="621"/>
      <c r="S80" s="621"/>
      <c r="T80" s="621"/>
      <c r="U80" s="621"/>
      <c r="V80" s="621"/>
      <c r="W80" s="621"/>
      <c r="X80" s="621"/>
      <c r="Y80" s="621"/>
      <c r="Z80" s="621"/>
      <c r="AA80" s="621"/>
      <c r="AB80" s="621"/>
      <c r="AC80" s="621"/>
      <c r="AD80" s="621"/>
      <c r="AE80" s="621"/>
      <c r="AF80" s="621"/>
      <c r="AG80" s="621"/>
      <c r="AH80" s="621"/>
      <c r="AI80" s="621"/>
      <c r="AJ80" s="621"/>
      <c r="AK80" s="621"/>
      <c r="AL80" s="621"/>
      <c r="AM80" s="621"/>
      <c r="AN80" s="621"/>
      <c r="AO80" s="621"/>
      <c r="AP80" s="621"/>
      <c r="AQ80" s="178"/>
      <c r="AR80" s="180"/>
      <c r="AS80" s="180"/>
      <c r="AT80" s="80"/>
      <c r="AU80" s="80"/>
      <c r="AV80" s="183">
        <v>1.52</v>
      </c>
      <c r="AW80" s="185">
        <f t="shared" si="8"/>
        <v>0.34210526315789475</v>
      </c>
      <c r="AX80" s="201">
        <f t="shared" si="6"/>
        <v>0.34210526315789475</v>
      </c>
      <c r="AY80" s="187">
        <v>0.76</v>
      </c>
      <c r="AZ80" s="189">
        <f t="shared" si="9"/>
        <v>0.28544333411866851</v>
      </c>
      <c r="BA80" s="202">
        <f t="shared" si="7"/>
        <v>0.28544333411866851</v>
      </c>
      <c r="BB80" s="202">
        <f t="shared" si="10"/>
        <v>1.21</v>
      </c>
      <c r="BC80" s="181"/>
      <c r="BS80" s="8"/>
      <c r="BU80" s="8"/>
      <c r="BV80" s="8"/>
      <c r="BW80" s="8"/>
      <c r="BX80" s="8"/>
      <c r="BY80" s="8"/>
      <c r="BZ80" s="8"/>
      <c r="CA80" s="8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</row>
    <row r="81" spans="2:183" s="76" customFormat="1" ht="12" customHeight="1" thickBot="1">
      <c r="B81" s="689" t="s">
        <v>199</v>
      </c>
      <c r="C81" s="690"/>
      <c r="D81" s="731" t="s">
        <v>196</v>
      </c>
      <c r="E81" s="731"/>
      <c r="F81" s="731"/>
      <c r="G81" s="731"/>
      <c r="H81" s="731"/>
      <c r="I81" s="731"/>
      <c r="J81" s="731"/>
      <c r="K81" s="731"/>
      <c r="L81" s="731"/>
      <c r="M81" s="731"/>
      <c r="N81" s="731"/>
      <c r="O81" s="731"/>
      <c r="P81" s="731"/>
      <c r="Q81" s="731"/>
      <c r="R81" s="731"/>
      <c r="S81" s="731"/>
      <c r="T81" s="731"/>
      <c r="U81" s="731"/>
      <c r="V81" s="731"/>
      <c r="W81" s="731"/>
      <c r="X81" s="731"/>
      <c r="Y81" s="731"/>
      <c r="Z81" s="731"/>
      <c r="AA81" s="731"/>
      <c r="AB81" s="731"/>
      <c r="AC81" s="731"/>
      <c r="AD81" s="731"/>
      <c r="AE81" s="221"/>
      <c r="AF81" s="89"/>
      <c r="AG81" s="89"/>
      <c r="AH81" s="87"/>
      <c r="AI81" s="87"/>
      <c r="AJ81" s="87"/>
      <c r="AK81" s="89"/>
      <c r="AL81" s="89"/>
      <c r="AM81" s="89"/>
      <c r="AN81" s="89"/>
      <c r="AO81" s="89"/>
      <c r="AP81" s="349"/>
      <c r="AQ81" s="179"/>
      <c r="AR81" s="180"/>
      <c r="AS81" s="180"/>
      <c r="AT81" s="80"/>
      <c r="AU81" s="80"/>
      <c r="AV81" s="183">
        <v>1.54</v>
      </c>
      <c r="AW81" s="185">
        <f t="shared" si="8"/>
        <v>0.33766233766233766</v>
      </c>
      <c r="AX81" s="201">
        <f t="shared" si="6"/>
        <v>0.33766233766233766</v>
      </c>
      <c r="AY81" s="187">
        <v>0.77</v>
      </c>
      <c r="AZ81" s="189">
        <f t="shared" si="9"/>
        <v>0.28456142886392494</v>
      </c>
      <c r="BA81" s="202">
        <f t="shared" si="7"/>
        <v>0.28456142886392494</v>
      </c>
      <c r="BB81" s="202">
        <f t="shared" si="10"/>
        <v>1.2137500000000001</v>
      </c>
      <c r="BC81" s="181"/>
      <c r="BD81" s="6"/>
      <c r="BF81" s="6"/>
      <c r="BH81" s="6"/>
      <c r="BJ81" s="6"/>
      <c r="BL81" s="6"/>
      <c r="BM81" s="6"/>
      <c r="BN81" s="6"/>
      <c r="BO81" s="642"/>
      <c r="BS81" s="8"/>
      <c r="BU81" s="8"/>
      <c r="BV81" s="8"/>
      <c r="BW81" s="8"/>
      <c r="BX81" s="8"/>
      <c r="BY81" s="8"/>
      <c r="BZ81" s="8"/>
      <c r="CA81" s="8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</row>
    <row r="82" spans="2:183" s="76" customFormat="1" ht="12" customHeight="1">
      <c r="B82" s="690"/>
      <c r="C82" s="690"/>
      <c r="D82" s="731"/>
      <c r="E82" s="731"/>
      <c r="F82" s="731"/>
      <c r="G82" s="731"/>
      <c r="H82" s="731"/>
      <c r="I82" s="731"/>
      <c r="J82" s="731"/>
      <c r="K82" s="731"/>
      <c r="L82" s="731"/>
      <c r="M82" s="731"/>
      <c r="N82" s="731"/>
      <c r="O82" s="731"/>
      <c r="P82" s="731"/>
      <c r="Q82" s="731"/>
      <c r="R82" s="731"/>
      <c r="S82" s="731"/>
      <c r="T82" s="731"/>
      <c r="U82" s="731"/>
      <c r="V82" s="731"/>
      <c r="W82" s="731"/>
      <c r="X82" s="731"/>
      <c r="Y82" s="731"/>
      <c r="Z82" s="731"/>
      <c r="AA82" s="731"/>
      <c r="AB82" s="731"/>
      <c r="AC82" s="731"/>
      <c r="AD82" s="731"/>
      <c r="AE82" s="734">
        <f>AK26</f>
        <v>0.6</v>
      </c>
      <c r="AF82" s="734"/>
      <c r="AG82" s="734"/>
      <c r="AH82" s="24"/>
      <c r="AI82" s="87"/>
      <c r="AJ82" s="87"/>
      <c r="AK82" s="734">
        <f>AK24</f>
        <v>1.35</v>
      </c>
      <c r="AL82" s="734"/>
      <c r="AM82" s="734"/>
      <c r="AN82" s="24"/>
      <c r="AO82" s="89"/>
      <c r="AP82" s="349"/>
      <c r="AQ82" s="179"/>
      <c r="AR82" s="180"/>
      <c r="AS82" s="180"/>
      <c r="AT82" s="80"/>
      <c r="AU82" s="80"/>
      <c r="AV82" s="183">
        <v>1.56</v>
      </c>
      <c r="AW82" s="185">
        <f t="shared" si="8"/>
        <v>0.33333333333333331</v>
      </c>
      <c r="AX82" s="201">
        <f t="shared" si="6"/>
        <v>0.33333333333333331</v>
      </c>
      <c r="AY82" s="187">
        <v>0.78</v>
      </c>
      <c r="AZ82" s="189">
        <f t="shared" si="9"/>
        <v>0.28368495629042206</v>
      </c>
      <c r="BA82" s="202">
        <f t="shared" si="7"/>
        <v>0.28368495629042206</v>
      </c>
      <c r="BB82" s="202">
        <f t="shared" si="10"/>
        <v>1.2175</v>
      </c>
      <c r="BC82" s="181"/>
      <c r="BD82" s="671" t="s">
        <v>282</v>
      </c>
      <c r="BE82" s="672"/>
      <c r="BF82" s="672"/>
      <c r="BG82" s="672"/>
      <c r="BH82" s="672"/>
      <c r="BI82" s="672"/>
      <c r="BJ82" s="672"/>
      <c r="BK82" s="672"/>
      <c r="BL82" s="672"/>
      <c r="BM82" s="672"/>
      <c r="BN82" s="673"/>
      <c r="BO82" s="642"/>
      <c r="BS82" s="8"/>
      <c r="BU82" s="8"/>
      <c r="BV82" s="8"/>
      <c r="BW82" s="8"/>
      <c r="BX82" s="8"/>
      <c r="BY82" s="8"/>
      <c r="BZ82" s="8"/>
      <c r="CA82" s="8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</row>
    <row r="83" spans="2:183" s="76" customFormat="1" ht="12" customHeight="1">
      <c r="B83" s="223"/>
      <c r="C83" s="223"/>
      <c r="D83" s="218"/>
      <c r="E83" s="218"/>
      <c r="F83" s="218"/>
      <c r="G83" s="218"/>
      <c r="H83" s="218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734"/>
      <c r="AF83" s="734"/>
      <c r="AG83" s="734"/>
      <c r="AH83" s="24"/>
      <c r="AI83" s="87"/>
      <c r="AJ83" s="87"/>
      <c r="AK83" s="734"/>
      <c r="AL83" s="734"/>
      <c r="AM83" s="734"/>
      <c r="AN83" s="24"/>
      <c r="AO83" s="89"/>
      <c r="AP83" s="349"/>
      <c r="AQ83" s="179"/>
      <c r="AR83" s="180"/>
      <c r="AS83" s="180"/>
      <c r="AT83" s="80"/>
      <c r="AU83" s="80"/>
      <c r="AV83" s="183">
        <v>1.58</v>
      </c>
      <c r="AW83" s="185">
        <f t="shared" si="8"/>
        <v>0.32911392405063289</v>
      </c>
      <c r="AX83" s="201">
        <f t="shared" si="6"/>
        <v>0.32911392405063289</v>
      </c>
      <c r="AY83" s="187">
        <v>0.79</v>
      </c>
      <c r="AZ83" s="189">
        <f t="shared" si="9"/>
        <v>0.28281386635298988</v>
      </c>
      <c r="BA83" s="202">
        <f t="shared" si="7"/>
        <v>0.28281386635298988</v>
      </c>
      <c r="BB83" s="202">
        <f t="shared" si="10"/>
        <v>1.2212499999999999</v>
      </c>
      <c r="BC83" s="181"/>
      <c r="BD83" s="674"/>
      <c r="BE83" s="675"/>
      <c r="BF83" s="675"/>
      <c r="BG83" s="675"/>
      <c r="BH83" s="675"/>
      <c r="BI83" s="675"/>
      <c r="BJ83" s="675"/>
      <c r="BK83" s="675"/>
      <c r="BL83" s="675"/>
      <c r="BM83" s="676"/>
      <c r="BN83" s="677"/>
      <c r="BO83" s="642"/>
      <c r="BS83" s="8"/>
      <c r="BU83" s="8"/>
      <c r="BV83" s="8"/>
      <c r="BW83" s="8"/>
      <c r="BX83" s="8"/>
      <c r="BY83" s="8"/>
      <c r="BZ83" s="8"/>
      <c r="CA83" s="8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</row>
    <row r="84" spans="2:183" s="76" customFormat="1" ht="12" customHeight="1">
      <c r="B84" s="689" t="s">
        <v>199</v>
      </c>
      <c r="C84" s="690"/>
      <c r="D84" s="922" t="str">
        <f>"براساس بند ۳-۲، ضریب تاثیر نوع ساختگاه در بازه زمان تناوب کوتاه ( Fs ) طبق "&amp;IF(OR(AQ19=6,AND(OR(Y28=BR8,Y28=BR9),AK26&gt;0.45,OR(AQ19=3,AQ19=4,AQ19=4))),"طیف ویژه ساختگاه ","جدول ۲-۱ ")&amp;"برابر است با:"</f>
        <v>براساس بند ۳-۲، ضریب تاثیر نوع ساختگاه در بازه زمان تناوب کوتاه ( Fs ) طبق جدول ۲-۱ برابر است با:</v>
      </c>
      <c r="E84" s="922"/>
      <c r="F84" s="922"/>
      <c r="G84" s="922"/>
      <c r="H84" s="922"/>
      <c r="I84" s="922"/>
      <c r="J84" s="922"/>
      <c r="K84" s="922"/>
      <c r="L84" s="922"/>
      <c r="M84" s="922"/>
      <c r="N84" s="922"/>
      <c r="O84" s="922"/>
      <c r="P84" s="922"/>
      <c r="Q84" s="922"/>
      <c r="R84" s="922"/>
      <c r="S84" s="922"/>
      <c r="T84" s="922"/>
      <c r="U84" s="922"/>
      <c r="V84" s="922"/>
      <c r="W84" s="922"/>
      <c r="X84" s="922"/>
      <c r="Y84" s="922"/>
      <c r="Z84" s="922"/>
      <c r="AA84" s="922"/>
      <c r="AB84" s="922"/>
      <c r="AC84" s="922"/>
      <c r="AD84" s="922"/>
      <c r="AE84" s="922"/>
      <c r="AF84" s="922"/>
      <c r="AG84" s="922"/>
      <c r="AH84" s="922"/>
      <c r="AI84" s="922"/>
      <c r="AJ84" s="922"/>
      <c r="AK84" s="922"/>
      <c r="AL84" s="923">
        <f>IF(OR(AQ19=6,AND(OR(Y28=BR8,Y28=BR9),AK26&gt;0.45,OR(AQ19=3,AQ19=4,AQ19=5))),AM22,IF(AND(OR(AK24&gt;0.5,AK24=0.5),OR(AK24&lt;0.75,AK24=0.75)),LOOKUP(AQ19,BN13:BN17,BE13:BE17),IF(AND(AK24&gt;0.75,OR(AK24&lt;1,AK24=1)),LOOKUP(AQ19,BN13:BN17,BG13:BG17),IF(AND(AK24&gt;1,OR(AK24&lt;1.25,AK24=1.25)),LOOKUP(AQ19,BN13:BN17,BI13:BI17),IF(AND(AK24&gt;1.25,AK24&lt;1.5),LOOKUP(AQ19,BN13:BN17,BK13:BK17),IF(OR(AK24&gt;1.5,AK24=1.5),LOOKUP(AQ19,BN13:BN17,BL13:BL17),"Error"))))))</f>
        <v>1</v>
      </c>
      <c r="AM84" s="923"/>
      <c r="AN84" s="222"/>
      <c r="AO84" s="222"/>
      <c r="AP84" s="365"/>
      <c r="AQ84" s="179"/>
      <c r="AR84" s="180"/>
      <c r="AS84" s="180"/>
      <c r="AT84" s="80"/>
      <c r="AU84" s="80"/>
      <c r="AV84" s="183">
        <v>1.6</v>
      </c>
      <c r="AW84" s="185">
        <f t="shared" si="8"/>
        <v>0.32500000000000001</v>
      </c>
      <c r="AX84" s="201">
        <f t="shared" si="6"/>
        <v>0.32500000000000001</v>
      </c>
      <c r="AY84" s="187">
        <v>0.8</v>
      </c>
      <c r="AZ84" s="189">
        <f t="shared" si="9"/>
        <v>0.2819481096192562</v>
      </c>
      <c r="BA84" s="202">
        <f t="shared" si="7"/>
        <v>0.2819481096192562</v>
      </c>
      <c r="BB84" s="202">
        <f t="shared" si="10"/>
        <v>1.2250000000000001</v>
      </c>
      <c r="BC84" s="181"/>
      <c r="BD84" s="787" t="s">
        <v>212</v>
      </c>
      <c r="BE84" s="659"/>
      <c r="BF84" s="659"/>
      <c r="BG84" s="659"/>
      <c r="BH84" s="659"/>
      <c r="BI84" s="659"/>
      <c r="BJ84" s="659"/>
      <c r="BK84" s="659"/>
      <c r="BL84" s="659"/>
      <c r="BM84" s="659" t="s">
        <v>6</v>
      </c>
      <c r="BN84" s="660"/>
      <c r="BO84" s="642"/>
      <c r="BS84" s="8"/>
      <c r="BU84" s="8"/>
      <c r="BV84" s="8"/>
      <c r="BW84" s="8"/>
      <c r="BX84" s="8"/>
      <c r="BY84" s="8"/>
      <c r="BZ84" s="8"/>
      <c r="CA84" s="8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</row>
    <row r="85" spans="2:183" s="76" customFormat="1" ht="12" customHeight="1">
      <c r="B85" s="690"/>
      <c r="C85" s="690"/>
      <c r="D85" s="922"/>
      <c r="E85" s="922"/>
      <c r="F85" s="922"/>
      <c r="G85" s="922"/>
      <c r="H85" s="922"/>
      <c r="I85" s="922"/>
      <c r="J85" s="922"/>
      <c r="K85" s="922"/>
      <c r="L85" s="922"/>
      <c r="M85" s="922"/>
      <c r="N85" s="922"/>
      <c r="O85" s="922"/>
      <c r="P85" s="922"/>
      <c r="Q85" s="922"/>
      <c r="R85" s="922"/>
      <c r="S85" s="922"/>
      <c r="T85" s="922"/>
      <c r="U85" s="922"/>
      <c r="V85" s="922"/>
      <c r="W85" s="922"/>
      <c r="X85" s="922"/>
      <c r="Y85" s="922"/>
      <c r="Z85" s="922"/>
      <c r="AA85" s="922"/>
      <c r="AB85" s="922"/>
      <c r="AC85" s="922"/>
      <c r="AD85" s="922"/>
      <c r="AE85" s="922"/>
      <c r="AF85" s="922"/>
      <c r="AG85" s="922"/>
      <c r="AH85" s="922"/>
      <c r="AI85" s="922"/>
      <c r="AJ85" s="922"/>
      <c r="AK85" s="922"/>
      <c r="AL85" s="923"/>
      <c r="AM85" s="923"/>
      <c r="AN85" s="222"/>
      <c r="AO85" s="222"/>
      <c r="AP85" s="365"/>
      <c r="AQ85" s="179"/>
      <c r="AR85" s="180"/>
      <c r="AS85" s="180"/>
      <c r="AT85" s="80"/>
      <c r="AU85" s="80"/>
      <c r="AV85" s="183">
        <v>1.62</v>
      </c>
      <c r="AW85" s="185">
        <f t="shared" si="8"/>
        <v>0.32098765432098764</v>
      </c>
      <c r="AX85" s="201">
        <f t="shared" si="6"/>
        <v>0.32098765432098764</v>
      </c>
      <c r="AY85" s="187">
        <v>0.81</v>
      </c>
      <c r="AZ85" s="189">
        <f t="shared" si="9"/>
        <v>0.28108763726029617</v>
      </c>
      <c r="BA85" s="202">
        <f t="shared" si="7"/>
        <v>0.28108763726029617</v>
      </c>
      <c r="BB85" s="202">
        <f t="shared" si="10"/>
        <v>1.22875</v>
      </c>
      <c r="BC85" s="181"/>
      <c r="BD85" s="787"/>
      <c r="BE85" s="659"/>
      <c r="BF85" s="659"/>
      <c r="BG85" s="659"/>
      <c r="BH85" s="659"/>
      <c r="BI85" s="659"/>
      <c r="BJ85" s="659"/>
      <c r="BK85" s="659"/>
      <c r="BL85" s="659"/>
      <c r="BM85" s="659"/>
      <c r="BN85" s="660"/>
      <c r="BO85" s="642"/>
      <c r="BS85" s="8"/>
      <c r="BU85" s="8"/>
      <c r="BV85" s="8"/>
      <c r="BW85" s="8"/>
      <c r="BX85" s="8"/>
      <c r="BY85" s="8"/>
      <c r="BZ85" s="8"/>
      <c r="CA85" s="8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</row>
    <row r="86" spans="2:183" s="76" customFormat="1" ht="12" customHeight="1">
      <c r="B86" s="689" t="s">
        <v>199</v>
      </c>
      <c r="C86" s="690"/>
      <c r="D86" s="922" t="str">
        <f>"براساس بند ۳-۲، ضریب تاثیر نوع ساختگاه در بازه زمان تناوب یک ثانیه ( F1 ) طبق "&amp;IF(OR(AQ19=6,AND(OR(Y28=BR8,Y28=BR9),AK26&gt;0.45,OR(AQ19=3,AQ19=4,AQ19=4))),"طیف ویژه ساختگاه ","جدول ۲-۱ ")&amp;"برابر است با:"</f>
        <v>براساس بند ۳-۲، ضریب تاثیر نوع ساختگاه در بازه زمان تناوب یک ثانیه ( F1 ) طبق جدول ۲-۱ برابر است با:</v>
      </c>
      <c r="E86" s="922"/>
      <c r="F86" s="922"/>
      <c r="G86" s="922"/>
      <c r="H86" s="922"/>
      <c r="I86" s="922"/>
      <c r="J86" s="922"/>
      <c r="K86" s="922"/>
      <c r="L86" s="922"/>
      <c r="M86" s="922"/>
      <c r="N86" s="922"/>
      <c r="O86" s="922"/>
      <c r="P86" s="922"/>
      <c r="Q86" s="922"/>
      <c r="R86" s="922"/>
      <c r="S86" s="922"/>
      <c r="T86" s="922"/>
      <c r="U86" s="922"/>
      <c r="V86" s="922"/>
      <c r="W86" s="922"/>
      <c r="X86" s="922"/>
      <c r="Y86" s="922"/>
      <c r="Z86" s="922"/>
      <c r="AA86" s="922"/>
      <c r="AB86" s="922"/>
      <c r="AC86" s="922"/>
      <c r="AD86" s="922"/>
      <c r="AE86" s="922"/>
      <c r="AF86" s="922"/>
      <c r="AG86" s="922"/>
      <c r="AH86" s="922"/>
      <c r="AI86" s="922"/>
      <c r="AJ86" s="922"/>
      <c r="AK86" s="922"/>
      <c r="AL86" s="923">
        <f>IF(OR(AQ19=6,AND(OR(Y28=BR8,Y28=BR9),AK26&gt;0.45,OR(AQ19=3,AQ19=4,AQ19=5))),AI22,IF(AND(OR(AK26&gt;0.2,AK26=0.2),OR(AK26&lt;0.3,AK26=0.3)),LOOKUP(AQ19,BN50:BN54,BE50:BE54),IF(AND(AK26&gt;0.3,OR(AK26&lt;0.4,AK26=0.4)),LOOKUP(AQ19,BN50:BN54,BG50:BG54),IF(AND(AK26&gt;0.4,OR(AK26&lt;0.5,AK26=0.5)),LOOKUP(AQ19,BN50:BN54,BI50:BI54),IF(AND(AK26&gt;0.5,AK26&lt;0.6),LOOKUP(AQ19,BN50:BN54,BK50:BK54),IF(OR(AK26&gt;0.6,AK26=0.6),LOOKUP(AQ19,BN50:BN54,BL50:BL54),"Error"))))))</f>
        <v>1.3</v>
      </c>
      <c r="AM86" s="923"/>
      <c r="AN86" s="222"/>
      <c r="AO86" s="222"/>
      <c r="AP86" s="349"/>
      <c r="AQ86" s="179"/>
      <c r="AR86" s="180"/>
      <c r="AS86" s="180"/>
      <c r="AT86" s="80"/>
      <c r="AU86" s="80"/>
      <c r="AV86" s="183">
        <v>1.64</v>
      </c>
      <c r="AW86" s="185">
        <f t="shared" si="8"/>
        <v>0.31707317073170732</v>
      </c>
      <c r="AX86" s="201">
        <f t="shared" si="6"/>
        <v>0.31707317073170732</v>
      </c>
      <c r="AY86" s="187">
        <v>0.82</v>
      </c>
      <c r="AZ86" s="189">
        <f t="shared" si="9"/>
        <v>0.28023240104145147</v>
      </c>
      <c r="BA86" s="202">
        <f t="shared" si="7"/>
        <v>0.28023240104145147</v>
      </c>
      <c r="BB86" s="202">
        <f t="shared" si="10"/>
        <v>1.2324999999999999</v>
      </c>
      <c r="BC86" s="181"/>
      <c r="BD86" s="833" t="s">
        <v>213</v>
      </c>
      <c r="BE86" s="647" t="s">
        <v>283</v>
      </c>
      <c r="BF86" s="665" t="s">
        <v>214</v>
      </c>
      <c r="BG86" s="647" t="s">
        <v>284</v>
      </c>
      <c r="BH86" s="665" t="s">
        <v>215</v>
      </c>
      <c r="BI86" s="647" t="s">
        <v>285</v>
      </c>
      <c r="BJ86" s="665" t="s">
        <v>216</v>
      </c>
      <c r="BK86" s="647" t="s">
        <v>286</v>
      </c>
      <c r="BL86" s="649" t="s">
        <v>314</v>
      </c>
      <c r="BM86" s="659"/>
      <c r="BN86" s="660"/>
      <c r="BO86" s="642"/>
      <c r="BS86" s="8"/>
      <c r="BU86" s="8"/>
      <c r="BV86" s="8"/>
      <c r="BW86" s="8"/>
      <c r="BX86" s="8"/>
      <c r="BY86" s="8"/>
      <c r="BZ86" s="8"/>
      <c r="CA86" s="8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</row>
    <row r="87" spans="2:183" s="76" customFormat="1" ht="12" customHeight="1">
      <c r="B87" s="690"/>
      <c r="C87" s="690"/>
      <c r="D87" s="922"/>
      <c r="E87" s="922"/>
      <c r="F87" s="922"/>
      <c r="G87" s="922"/>
      <c r="H87" s="922"/>
      <c r="I87" s="922"/>
      <c r="J87" s="922"/>
      <c r="K87" s="922"/>
      <c r="L87" s="922"/>
      <c r="M87" s="922"/>
      <c r="N87" s="922"/>
      <c r="O87" s="922"/>
      <c r="P87" s="922"/>
      <c r="Q87" s="922"/>
      <c r="R87" s="922"/>
      <c r="S87" s="922"/>
      <c r="T87" s="922"/>
      <c r="U87" s="922"/>
      <c r="V87" s="922"/>
      <c r="W87" s="922"/>
      <c r="X87" s="922"/>
      <c r="Y87" s="922"/>
      <c r="Z87" s="922"/>
      <c r="AA87" s="922"/>
      <c r="AB87" s="922"/>
      <c r="AC87" s="922"/>
      <c r="AD87" s="922"/>
      <c r="AE87" s="922"/>
      <c r="AF87" s="922"/>
      <c r="AG87" s="922"/>
      <c r="AH87" s="922"/>
      <c r="AI87" s="922"/>
      <c r="AJ87" s="922"/>
      <c r="AK87" s="922"/>
      <c r="AL87" s="923"/>
      <c r="AM87" s="923"/>
      <c r="AN87" s="222"/>
      <c r="AO87" s="222"/>
      <c r="AP87" s="349"/>
      <c r="AQ87" s="179"/>
      <c r="AR87" s="180"/>
      <c r="AS87" s="180"/>
      <c r="AT87" s="80"/>
      <c r="AU87" s="80"/>
      <c r="AV87" s="183">
        <v>1.66</v>
      </c>
      <c r="AW87" s="185">
        <f t="shared" si="8"/>
        <v>0.31325301204819278</v>
      </c>
      <c r="AX87" s="201">
        <f t="shared" si="6"/>
        <v>0.31325301204819278</v>
      </c>
      <c r="AY87" s="187">
        <v>0.83</v>
      </c>
      <c r="AZ87" s="189">
        <f t="shared" si="9"/>
        <v>0.27938235331331757</v>
      </c>
      <c r="BA87" s="202">
        <f t="shared" si="7"/>
        <v>0.27938235331331757</v>
      </c>
      <c r="BB87" s="202">
        <f t="shared" si="10"/>
        <v>1.2362500000000001</v>
      </c>
      <c r="BC87" s="181"/>
      <c r="BD87" s="834"/>
      <c r="BE87" s="648"/>
      <c r="BF87" s="666"/>
      <c r="BG87" s="648"/>
      <c r="BH87" s="666"/>
      <c r="BI87" s="648"/>
      <c r="BJ87" s="666"/>
      <c r="BK87" s="648"/>
      <c r="BL87" s="650"/>
      <c r="BM87" s="659"/>
      <c r="BN87" s="660"/>
      <c r="BO87" s="642"/>
      <c r="BS87" s="8"/>
      <c r="BU87" s="8"/>
      <c r="BV87" s="8"/>
      <c r="BW87" s="8"/>
      <c r="BX87" s="8"/>
      <c r="BY87" s="8"/>
      <c r="BZ87" s="8"/>
      <c r="CA87" s="8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</row>
    <row r="88" spans="2:183" s="76" customFormat="1" ht="12" customHeight="1">
      <c r="B88" s="689" t="s">
        <v>199</v>
      </c>
      <c r="C88" s="690"/>
      <c r="D88" s="731" t="s">
        <v>198</v>
      </c>
      <c r="E88" s="731"/>
      <c r="F88" s="731"/>
      <c r="G88" s="731"/>
      <c r="H88" s="731"/>
      <c r="I88" s="731"/>
      <c r="J88" s="731"/>
      <c r="K88" s="731"/>
      <c r="L88" s="731"/>
      <c r="M88" s="731"/>
      <c r="N88" s="731"/>
      <c r="O88" s="731"/>
      <c r="P88" s="731"/>
      <c r="Q88" s="731"/>
      <c r="R88" s="731"/>
      <c r="S88" s="731"/>
      <c r="T88" s="731"/>
      <c r="U88" s="731"/>
      <c r="V88" s="731"/>
      <c r="W88" s="731"/>
      <c r="X88" s="731"/>
      <c r="Y88" s="731"/>
      <c r="Z88" s="731"/>
      <c r="AA88" s="731"/>
      <c r="AB88" s="731"/>
      <c r="AC88" s="731"/>
      <c r="AD88" s="731"/>
      <c r="AE88" s="731"/>
      <c r="AF88" s="731"/>
      <c r="AG88" s="731"/>
      <c r="AH88" s="731"/>
      <c r="AI88" s="731"/>
      <c r="AJ88" s="731"/>
      <c r="AK88" s="87"/>
      <c r="AL88" s="87"/>
      <c r="AM88" s="87"/>
      <c r="AN88" s="87"/>
      <c r="AO88" s="89"/>
      <c r="AP88" s="349"/>
      <c r="AQ88" s="735">
        <f>AL84*AK82</f>
        <v>1.35</v>
      </c>
      <c r="AR88" s="646" t="s">
        <v>262</v>
      </c>
      <c r="AS88" s="180"/>
      <c r="AT88" s="80"/>
      <c r="AU88" s="80"/>
      <c r="AV88" s="183">
        <v>1.68</v>
      </c>
      <c r="AW88" s="185">
        <f t="shared" si="8"/>
        <v>0.30952380952380953</v>
      </c>
      <c r="AX88" s="201">
        <f t="shared" si="6"/>
        <v>0.30952380952380953</v>
      </c>
      <c r="AY88" s="187">
        <v>0.84</v>
      </c>
      <c r="AZ88" s="189">
        <f t="shared" si="9"/>
        <v>0.27853744700289429</v>
      </c>
      <c r="BA88" s="202">
        <f t="shared" si="7"/>
        <v>0.27853744700289429</v>
      </c>
      <c r="BB88" s="202">
        <f t="shared" si="10"/>
        <v>1.24</v>
      </c>
      <c r="BC88" s="181"/>
      <c r="BD88" s="403">
        <v>0.2</v>
      </c>
      <c r="BE88" s="402"/>
      <c r="BF88" s="404">
        <v>0.3</v>
      </c>
      <c r="BG88" s="402"/>
      <c r="BH88" s="404">
        <v>0.4</v>
      </c>
      <c r="BI88" s="402"/>
      <c r="BJ88" s="404">
        <v>0.5</v>
      </c>
      <c r="BK88" s="402"/>
      <c r="BL88" s="405">
        <v>0.6</v>
      </c>
      <c r="BM88" s="659"/>
      <c r="BN88" s="660"/>
      <c r="BO88" s="642"/>
      <c r="BS88" s="8"/>
      <c r="BU88" s="8"/>
      <c r="BV88" s="8"/>
      <c r="BW88" s="8"/>
      <c r="BX88" s="8"/>
      <c r="BY88" s="8"/>
      <c r="BZ88" s="8"/>
      <c r="CA88" s="8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</row>
    <row r="89" spans="2:183" s="76" customFormat="1" ht="12" customHeight="1">
      <c r="B89" s="690"/>
      <c r="C89" s="690"/>
      <c r="D89" s="731"/>
      <c r="E89" s="731"/>
      <c r="F89" s="731"/>
      <c r="G89" s="731"/>
      <c r="H89" s="731"/>
      <c r="I89" s="731"/>
      <c r="J89" s="731"/>
      <c r="K89" s="731"/>
      <c r="L89" s="731"/>
      <c r="M89" s="731"/>
      <c r="N89" s="731"/>
      <c r="O89" s="731"/>
      <c r="P89" s="731"/>
      <c r="Q89" s="731"/>
      <c r="R89" s="731"/>
      <c r="S89" s="731"/>
      <c r="T89" s="731"/>
      <c r="U89" s="731"/>
      <c r="V89" s="731"/>
      <c r="W89" s="731"/>
      <c r="X89" s="731"/>
      <c r="Y89" s="731"/>
      <c r="Z89" s="731"/>
      <c r="AA89" s="731"/>
      <c r="AB89" s="731"/>
      <c r="AC89" s="731"/>
      <c r="AD89" s="731"/>
      <c r="AE89" s="731"/>
      <c r="AF89" s="731"/>
      <c r="AG89" s="731"/>
      <c r="AH89" s="731"/>
      <c r="AI89" s="731"/>
      <c r="AJ89" s="731"/>
      <c r="AK89" s="87"/>
      <c r="AL89" s="87"/>
      <c r="AM89" s="87"/>
      <c r="AN89" s="87"/>
      <c r="AO89" s="89"/>
      <c r="AP89" s="349"/>
      <c r="AQ89" s="735"/>
      <c r="AR89" s="646"/>
      <c r="AS89" s="180"/>
      <c r="AT89" s="80"/>
      <c r="AU89" s="80"/>
      <c r="AV89" s="183">
        <v>1.7</v>
      </c>
      <c r="AW89" s="185">
        <f t="shared" si="8"/>
        <v>0.30588235294117649</v>
      </c>
      <c r="AX89" s="201">
        <f t="shared" si="6"/>
        <v>0.30588235294117649</v>
      </c>
      <c r="AY89" s="187">
        <v>0.85</v>
      </c>
      <c r="AZ89" s="189">
        <f t="shared" si="9"/>
        <v>0.27769763560489563</v>
      </c>
      <c r="BA89" s="202">
        <f t="shared" si="7"/>
        <v>0.27769763560489563</v>
      </c>
      <c r="BB89" s="202">
        <f t="shared" si="10"/>
        <v>1.2437499999999999</v>
      </c>
      <c r="BC89" s="181"/>
      <c r="BD89" s="392">
        <f>IF(AND(Y19=CD8,Y22=CF6),0.9,1)</f>
        <v>1</v>
      </c>
      <c r="BE89" s="393">
        <f>(((0.4*AK$24)-BD$88)*(BF89-BD89)/(BF$88-BD$88))+BD89</f>
        <v>1</v>
      </c>
      <c r="BF89" s="396">
        <f>IF(AND(Y19=CD8,Y22=CF6),0.9,1)</f>
        <v>1</v>
      </c>
      <c r="BG89" s="393">
        <f>(((0.4*AK$24)-BF$88)*(BH89-BF89)/(BH$88-BF$88))+BF89</f>
        <v>1</v>
      </c>
      <c r="BH89" s="396">
        <f>IF(AND(Y19=CD8,Y22=CF6),0.9,1)</f>
        <v>1</v>
      </c>
      <c r="BI89" s="393">
        <f>(((0.4*AK$24)-BH$88)*(BJ89-BH89)/(BJ$88-BH$88))+BH89</f>
        <v>1</v>
      </c>
      <c r="BJ89" s="396">
        <f>IF(AND(Y19=CD8,Y22=CF6),0.9,1)</f>
        <v>1</v>
      </c>
      <c r="BK89" s="393">
        <f>(((0.4*AK$24)-BJ$88)*(BL89-BJ89)/(BL$88-BJ$88))+BJ89</f>
        <v>1</v>
      </c>
      <c r="BL89" s="379">
        <f>IF(AND(Y19=CD8,Y22=CF6),0.9,1)</f>
        <v>1</v>
      </c>
      <c r="BM89" s="397" t="s">
        <v>113</v>
      </c>
      <c r="BN89" s="410">
        <v>1</v>
      </c>
      <c r="BO89" s="642"/>
      <c r="BS89" s="8"/>
      <c r="BU89" s="8"/>
      <c r="BV89" s="8"/>
      <c r="BW89" s="8"/>
      <c r="BX89" s="8"/>
      <c r="BY89" s="8"/>
      <c r="BZ89" s="8"/>
      <c r="CA89" s="8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</row>
    <row r="90" spans="2:183" s="76" customFormat="1" ht="12" customHeight="1">
      <c r="B90" s="223"/>
      <c r="C90" s="223"/>
      <c r="D90" s="701" t="str">
        <f>AL86 &amp;" * "&amp; AE82 &amp; " = " &amp; ROUND((AL86*AE82),5)</f>
        <v>1.3 * 0.6 = 0.78</v>
      </c>
      <c r="E90" s="701"/>
      <c r="F90" s="701"/>
      <c r="G90" s="701"/>
      <c r="H90" s="701"/>
      <c r="I90" s="701"/>
      <c r="J90" s="701"/>
      <c r="K90" s="701"/>
      <c r="L90" s="701"/>
      <c r="M90" s="701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  <c r="Z90" s="701" t="str">
        <f>AL84 &amp;" * "&amp; AK82 &amp; " = " &amp; ROUND((AL84*AK82),5)</f>
        <v>1 * 1.35 = 1.35</v>
      </c>
      <c r="AA90" s="701"/>
      <c r="AB90" s="701"/>
      <c r="AC90" s="701"/>
      <c r="AD90" s="701"/>
      <c r="AE90" s="701"/>
      <c r="AF90" s="701"/>
      <c r="AG90" s="701"/>
      <c r="AH90" s="701"/>
      <c r="AI90" s="701"/>
      <c r="AJ90" s="21"/>
      <c r="AK90" s="225"/>
      <c r="AL90" s="225"/>
      <c r="AM90" s="225"/>
      <c r="AN90" s="225"/>
      <c r="AO90" s="226"/>
      <c r="AP90" s="366"/>
      <c r="AQ90" s="735">
        <f>AL86*AE82</f>
        <v>0.78</v>
      </c>
      <c r="AR90" s="646" t="s">
        <v>263</v>
      </c>
      <c r="AS90" s="195"/>
      <c r="AT90" s="80"/>
      <c r="AU90" s="80"/>
      <c r="AV90" s="183">
        <v>1.72</v>
      </c>
      <c r="AW90" s="185">
        <f t="shared" si="8"/>
        <v>0.30232558139534887</v>
      </c>
      <c r="AX90" s="201">
        <f t="shared" si="6"/>
        <v>0.30232558139534887</v>
      </c>
      <c r="AY90" s="187">
        <v>0.86</v>
      </c>
      <c r="AZ90" s="189">
        <f t="shared" si="9"/>
        <v>0.27686287317321756</v>
      </c>
      <c r="BA90" s="202">
        <f t="shared" si="7"/>
        <v>0.27686287317321756</v>
      </c>
      <c r="BB90" s="202">
        <f t="shared" si="10"/>
        <v>1.2475000000000001</v>
      </c>
      <c r="BC90" s="181"/>
      <c r="BD90" s="392">
        <v>1.2</v>
      </c>
      <c r="BE90" s="393">
        <f>(((0.4*AK$24)-BD$88)*(BF90-BD90)/(BF$88-BD$88))+BD90</f>
        <v>1.2</v>
      </c>
      <c r="BF90" s="396">
        <v>1.2</v>
      </c>
      <c r="BG90" s="393">
        <f>(((0.4*AK$24)-BF$88)*(BH90-BF90)/(BH$88-BF$88))+BF90</f>
        <v>0.9600000000000003</v>
      </c>
      <c r="BH90" s="396">
        <v>1.1000000000000001</v>
      </c>
      <c r="BI90" s="393">
        <f>(((0.4*AK$24)-BH$88)*(BJ90-BH90)/(BJ$88-BH$88))+BH90</f>
        <v>0.96</v>
      </c>
      <c r="BJ90" s="396">
        <v>1</v>
      </c>
      <c r="BK90" s="393">
        <f>(((0.4*AK$24)-BJ$88)*(BL90-BJ90)/(BL$88-BJ$88))+BJ90</f>
        <v>1</v>
      </c>
      <c r="BL90" s="379">
        <v>1</v>
      </c>
      <c r="BM90" s="397" t="s">
        <v>114</v>
      </c>
      <c r="BN90" s="410">
        <v>2</v>
      </c>
      <c r="BO90" s="642"/>
      <c r="BS90" s="8"/>
      <c r="BU90" s="8"/>
      <c r="BV90" s="8"/>
      <c r="BW90" s="8"/>
      <c r="BX90" s="8"/>
      <c r="BY90" s="8"/>
      <c r="BZ90" s="8"/>
      <c r="CA90" s="8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</row>
    <row r="91" spans="2:183" s="76" customFormat="1" ht="12" customHeight="1">
      <c r="B91" s="223"/>
      <c r="C91" s="223"/>
      <c r="D91" s="701"/>
      <c r="E91" s="701"/>
      <c r="F91" s="701"/>
      <c r="G91" s="701"/>
      <c r="H91" s="701"/>
      <c r="I91" s="701"/>
      <c r="J91" s="701"/>
      <c r="K91" s="701"/>
      <c r="L91" s="701"/>
      <c r="M91" s="701"/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X91" s="225"/>
      <c r="Y91" s="225"/>
      <c r="Z91" s="701"/>
      <c r="AA91" s="701"/>
      <c r="AB91" s="701"/>
      <c r="AC91" s="701"/>
      <c r="AD91" s="701"/>
      <c r="AE91" s="701"/>
      <c r="AF91" s="701"/>
      <c r="AG91" s="701"/>
      <c r="AH91" s="701"/>
      <c r="AI91" s="701"/>
      <c r="AJ91" s="21"/>
      <c r="AK91" s="225"/>
      <c r="AL91" s="225"/>
      <c r="AM91" s="225"/>
      <c r="AN91" s="225"/>
      <c r="AO91" s="226"/>
      <c r="AP91" s="366"/>
      <c r="AQ91" s="735"/>
      <c r="AR91" s="646"/>
      <c r="AS91" s="195"/>
      <c r="AT91" s="80"/>
      <c r="AU91" s="80"/>
      <c r="AV91" s="183">
        <v>1.74</v>
      </c>
      <c r="AW91" s="185">
        <f t="shared" si="8"/>
        <v>0.2988505747126437</v>
      </c>
      <c r="AX91" s="201">
        <f t="shared" si="6"/>
        <v>0.2988505747126437</v>
      </c>
      <c r="AY91" s="187">
        <v>0.87</v>
      </c>
      <c r="AZ91" s="189">
        <f t="shared" si="9"/>
        <v>0.27603311431255856</v>
      </c>
      <c r="BA91" s="202">
        <f t="shared" si="7"/>
        <v>0.27603311431255856</v>
      </c>
      <c r="BB91" s="202">
        <f t="shared" si="10"/>
        <v>1.25125</v>
      </c>
      <c r="BC91" s="181"/>
      <c r="BD91" s="392">
        <v>1.4</v>
      </c>
      <c r="BE91" s="393">
        <f>(((0.4*AK$24)-BD$88)*(BF91-BD91)/(BF$88-BD$88))+BD91</f>
        <v>1.0600000000000003</v>
      </c>
      <c r="BF91" s="396">
        <v>1.3</v>
      </c>
      <c r="BG91" s="393">
        <f>(((0.4*AK$24)-BF$88)*(BH91-BF91)/(BH$88-BF$88))+BF91</f>
        <v>0.82000000000000017</v>
      </c>
      <c r="BH91" s="396">
        <v>1.1000000000000001</v>
      </c>
      <c r="BI91" s="393">
        <f>(((0.4*AK$24)-BH$88)*(BJ91-BH91)/(BJ$88-BH$88))+BH91</f>
        <v>0.96</v>
      </c>
      <c r="BJ91" s="396">
        <v>1</v>
      </c>
      <c r="BK91" s="393">
        <f>(((0.4*AK$24)-BJ$88)*(BL91-BJ91)/(BL$88-BJ$88))+BJ91</f>
        <v>1</v>
      </c>
      <c r="BL91" s="379">
        <v>1</v>
      </c>
      <c r="BM91" s="397" t="s">
        <v>115</v>
      </c>
      <c r="BN91" s="410">
        <v>3</v>
      </c>
      <c r="BO91" s="642"/>
      <c r="BS91" s="8"/>
      <c r="BU91" s="8"/>
      <c r="BV91" s="8"/>
      <c r="BW91" s="8"/>
      <c r="BX91" s="8"/>
      <c r="BY91" s="8"/>
      <c r="BZ91" s="8"/>
      <c r="CA91" s="8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</row>
    <row r="92" spans="2:183" s="76" customFormat="1" ht="12" customHeight="1">
      <c r="B92" s="689" t="s">
        <v>199</v>
      </c>
      <c r="C92" s="690"/>
      <c r="D92" s="731" t="s">
        <v>197</v>
      </c>
      <c r="E92" s="731"/>
      <c r="F92" s="731"/>
      <c r="G92" s="731"/>
      <c r="H92" s="731"/>
      <c r="I92" s="731"/>
      <c r="J92" s="731"/>
      <c r="K92" s="731"/>
      <c r="L92" s="731"/>
      <c r="M92" s="731"/>
      <c r="N92" s="731"/>
      <c r="O92" s="731"/>
      <c r="P92" s="731"/>
      <c r="Q92" s="731"/>
      <c r="R92" s="731"/>
      <c r="S92" s="731"/>
      <c r="T92" s="731"/>
      <c r="U92" s="731"/>
      <c r="V92" s="731"/>
      <c r="W92" s="731"/>
      <c r="X92" s="731"/>
      <c r="Y92" s="731"/>
      <c r="Z92" s="731"/>
      <c r="AA92" s="731"/>
      <c r="AB92" s="731"/>
      <c r="AC92" s="731"/>
      <c r="AD92" s="224"/>
      <c r="AE92" s="224"/>
      <c r="AF92" s="224"/>
      <c r="AG92" s="224"/>
      <c r="AH92" s="224"/>
      <c r="AI92" s="224"/>
      <c r="AJ92" s="21"/>
      <c r="AK92" s="225"/>
      <c r="AL92" s="225"/>
      <c r="AM92" s="225"/>
      <c r="AN92" s="225"/>
      <c r="AO92" s="226"/>
      <c r="AP92" s="366"/>
      <c r="AQ92" s="735">
        <f>2*AQ88/3</f>
        <v>0.9</v>
      </c>
      <c r="AR92" s="646" t="s">
        <v>264</v>
      </c>
      <c r="AS92" s="195"/>
      <c r="AT92" s="80"/>
      <c r="AU92" s="80"/>
      <c r="AV92" s="183">
        <v>1.76</v>
      </c>
      <c r="AW92" s="185">
        <f t="shared" si="8"/>
        <v>0.29545454545454547</v>
      </c>
      <c r="AX92" s="201">
        <f t="shared" si="6"/>
        <v>0.29545454545454547</v>
      </c>
      <c r="AY92" s="187">
        <v>0.88</v>
      </c>
      <c r="AZ92" s="189">
        <f t="shared" si="9"/>
        <v>0.27520831417019037</v>
      </c>
      <c r="BA92" s="202">
        <f t="shared" si="7"/>
        <v>0.27520831417019037</v>
      </c>
      <c r="BB92" s="202">
        <f t="shared" si="10"/>
        <v>1.2549999999999999</v>
      </c>
      <c r="BC92" s="181"/>
      <c r="BD92" s="392">
        <v>1.6</v>
      </c>
      <c r="BE92" s="393">
        <f>(((0.4*AK$24)-BD$88)*(BF92-BD92)/(BF$88-BD$88))+BD92</f>
        <v>1.6</v>
      </c>
      <c r="BF92" s="396">
        <v>1.6</v>
      </c>
      <c r="BG92" s="393">
        <f>(((0.4*AK$24)-BF$88)*(BH92-BF92)/(BH$88-BF$88))+BF92</f>
        <v>1.1199999999999997</v>
      </c>
      <c r="BH92" s="396">
        <v>1.4</v>
      </c>
      <c r="BI92" s="393">
        <f>(((0.4*AK$24)-BH$88)*(BJ92-BH92)/(BJ$88-BH$88))+BH92</f>
        <v>1.1199999999999999</v>
      </c>
      <c r="BJ92" s="396">
        <v>1.2</v>
      </c>
      <c r="BK92" s="393">
        <f>(((0.4*AK$24)-BJ$88)*(BL92-BJ92)/(BL$88-BJ$88))+BJ92</f>
        <v>1.1599999999999999</v>
      </c>
      <c r="BL92" s="379">
        <v>1.1000000000000001</v>
      </c>
      <c r="BM92" s="397" t="s">
        <v>116</v>
      </c>
      <c r="BN92" s="410">
        <v>4</v>
      </c>
      <c r="BO92" s="642"/>
      <c r="BS92" s="8"/>
      <c r="BU92" s="8"/>
      <c r="BV92" s="8"/>
      <c r="BW92" s="8"/>
      <c r="BX92" s="8"/>
      <c r="BY92" s="8"/>
      <c r="BZ92" s="8"/>
      <c r="CA92" s="8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</row>
    <row r="93" spans="2:183" s="76" customFormat="1" ht="12" customHeight="1">
      <c r="B93" s="690"/>
      <c r="C93" s="690"/>
      <c r="D93" s="731"/>
      <c r="E93" s="731"/>
      <c r="F93" s="731"/>
      <c r="G93" s="731"/>
      <c r="H93" s="731"/>
      <c r="I93" s="731"/>
      <c r="J93" s="731"/>
      <c r="K93" s="731"/>
      <c r="L93" s="731"/>
      <c r="M93" s="731"/>
      <c r="N93" s="731"/>
      <c r="O93" s="731"/>
      <c r="P93" s="731"/>
      <c r="Q93" s="731"/>
      <c r="R93" s="731"/>
      <c r="S93" s="731"/>
      <c r="T93" s="731"/>
      <c r="U93" s="731"/>
      <c r="V93" s="731"/>
      <c r="W93" s="731"/>
      <c r="X93" s="731"/>
      <c r="Y93" s="731"/>
      <c r="Z93" s="731"/>
      <c r="AA93" s="731"/>
      <c r="AB93" s="731"/>
      <c r="AC93" s="731"/>
      <c r="AD93" s="224"/>
      <c r="AE93" s="224"/>
      <c r="AF93" s="224"/>
      <c r="AG93" s="224"/>
      <c r="AH93" s="224"/>
      <c r="AI93" s="224"/>
      <c r="AJ93" s="21"/>
      <c r="AK93" s="225"/>
      <c r="AL93" s="225"/>
      <c r="AM93" s="225"/>
      <c r="AN93" s="225"/>
      <c r="AO93" s="226"/>
      <c r="AP93" s="366"/>
      <c r="AQ93" s="735"/>
      <c r="AR93" s="646"/>
      <c r="AS93" s="195"/>
      <c r="AT93" s="80"/>
      <c r="AU93" s="80"/>
      <c r="AV93" s="183">
        <v>1.78</v>
      </c>
      <c r="AW93" s="185">
        <f t="shared" si="8"/>
        <v>0.29213483146067415</v>
      </c>
      <c r="AX93" s="201">
        <f t="shared" si="6"/>
        <v>0.29213483146067415</v>
      </c>
      <c r="AY93" s="187">
        <v>0.89</v>
      </c>
      <c r="AZ93" s="189">
        <f t="shared" si="9"/>
        <v>0.27438842842787597</v>
      </c>
      <c r="BA93" s="202">
        <f t="shared" si="7"/>
        <v>0.27438842842787597</v>
      </c>
      <c r="BB93" s="202">
        <f t="shared" si="10"/>
        <v>1.25875</v>
      </c>
      <c r="BC93" s="181"/>
      <c r="BD93" s="392">
        <v>1.6</v>
      </c>
      <c r="BE93" s="393">
        <f>(((0.4*AK$24)-BD$88)*(BF93-BD93)/(BF$88-BD$88))+BD93</f>
        <v>1.6</v>
      </c>
      <c r="BF93" s="396">
        <v>1.6</v>
      </c>
      <c r="BG93" s="393">
        <f>(((0.4*AK$24)-BF$88)*(BH93-BF93)/(BH$88-BF$88))+BF93</f>
        <v>1.1199999999999997</v>
      </c>
      <c r="BH93" s="396">
        <v>1.4</v>
      </c>
      <c r="BI93" s="393">
        <f>(((0.4*AK$24)-BH$88)*(BJ93-BH93)/(BJ$88-BH$88))+BH93</f>
        <v>1.1199999999999999</v>
      </c>
      <c r="BJ93" s="396">
        <v>1.2</v>
      </c>
      <c r="BK93" s="393">
        <f>(((0.4*AK$24)-BJ$88)*(BL93-BJ93)/(BL$88-BJ$88))+BJ93</f>
        <v>1.2</v>
      </c>
      <c r="BL93" s="379">
        <v>1.2</v>
      </c>
      <c r="BM93" s="397" t="s">
        <v>117</v>
      </c>
      <c r="BN93" s="410">
        <v>5</v>
      </c>
      <c r="BO93" s="642"/>
      <c r="BS93" s="8"/>
      <c r="BU93" s="8"/>
      <c r="BV93" s="8"/>
      <c r="BW93" s="8"/>
      <c r="BX93" s="8"/>
      <c r="BY93" s="8"/>
      <c r="BZ93" s="8"/>
      <c r="CA93" s="8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</row>
    <row r="94" spans="2:183" s="76" customFormat="1" ht="12" customHeight="1" thickBot="1">
      <c r="B94" s="223"/>
      <c r="C94" s="223"/>
      <c r="D94" s="227"/>
      <c r="E94" s="701" t="str">
        <f>"(2/3) * " &amp; (AL86*AE82) &amp; "= " &amp;ROUND((2*AL86*AE82/3),5)</f>
        <v>(2/3) * 0.78= 0.52</v>
      </c>
      <c r="F94" s="701"/>
      <c r="G94" s="701"/>
      <c r="H94" s="701"/>
      <c r="I94" s="701"/>
      <c r="J94" s="701"/>
      <c r="K94" s="701"/>
      <c r="L94" s="701"/>
      <c r="M94" s="701"/>
      <c r="N94" s="701"/>
      <c r="O94" s="701"/>
      <c r="P94" s="225"/>
      <c r="Q94" s="225"/>
      <c r="R94" s="225"/>
      <c r="S94" s="225"/>
      <c r="T94" s="225"/>
      <c r="U94" s="225"/>
      <c r="V94" s="225"/>
      <c r="W94" s="225"/>
      <c r="X94" s="701" t="str">
        <f>"(2/3) * " &amp; (AL84*AK82) &amp; "= " &amp; ROUND((2*AL84*AK82/3),5)</f>
        <v>(2/3) * 1.35= 0.9</v>
      </c>
      <c r="Y94" s="701"/>
      <c r="Z94" s="701"/>
      <c r="AA94" s="701"/>
      <c r="AB94" s="701"/>
      <c r="AC94" s="701"/>
      <c r="AD94" s="701"/>
      <c r="AE94" s="701"/>
      <c r="AF94" s="701"/>
      <c r="AG94" s="701"/>
      <c r="AH94" s="701"/>
      <c r="AI94" s="21"/>
      <c r="AJ94" s="21"/>
      <c r="AK94" s="733"/>
      <c r="AL94" s="733"/>
      <c r="AM94" s="733"/>
      <c r="AN94" s="733"/>
      <c r="AO94" s="733"/>
      <c r="AP94" s="366"/>
      <c r="AQ94" s="735">
        <f>2*AQ90/3</f>
        <v>0.52</v>
      </c>
      <c r="AR94" s="646" t="s">
        <v>265</v>
      </c>
      <c r="AS94" s="195"/>
      <c r="AT94" s="80"/>
      <c r="AU94" s="80"/>
      <c r="AV94" s="183">
        <v>1.8</v>
      </c>
      <c r="AW94" s="185">
        <f t="shared" si="8"/>
        <v>0.28888888888888892</v>
      </c>
      <c r="AX94" s="201">
        <f t="shared" si="6"/>
        <v>0.28888888888888892</v>
      </c>
      <c r="AY94" s="187">
        <v>0.9</v>
      </c>
      <c r="AZ94" s="189">
        <f t="shared" si="9"/>
        <v>0.27357341329393181</v>
      </c>
      <c r="BA94" s="202">
        <f t="shared" si="7"/>
        <v>0.27357341329393181</v>
      </c>
      <c r="BB94" s="202">
        <f t="shared" si="10"/>
        <v>1.2625</v>
      </c>
      <c r="BC94" s="181"/>
      <c r="BD94" s="394" t="s">
        <v>126</v>
      </c>
      <c r="BE94" s="398" t="s">
        <v>126</v>
      </c>
      <c r="BF94" s="399" t="s">
        <v>126</v>
      </c>
      <c r="BG94" s="398" t="s">
        <v>126</v>
      </c>
      <c r="BH94" s="399" t="s">
        <v>126</v>
      </c>
      <c r="BI94" s="398" t="s">
        <v>126</v>
      </c>
      <c r="BJ94" s="399" t="s">
        <v>126</v>
      </c>
      <c r="BK94" s="398" t="s">
        <v>126</v>
      </c>
      <c r="BL94" s="378" t="s">
        <v>126</v>
      </c>
      <c r="BM94" s="399" t="s">
        <v>118</v>
      </c>
      <c r="BN94" s="411">
        <v>6</v>
      </c>
      <c r="BO94" s="642"/>
      <c r="BS94" s="8"/>
      <c r="BU94" s="8"/>
      <c r="BV94" s="8"/>
      <c r="BW94" s="8"/>
      <c r="BX94" s="8"/>
      <c r="BY94" s="8"/>
      <c r="BZ94" s="8"/>
      <c r="CA94" s="8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</row>
    <row r="95" spans="2:183" s="76" customFormat="1" ht="12" customHeight="1">
      <c r="B95" s="223"/>
      <c r="C95" s="223"/>
      <c r="D95" s="227"/>
      <c r="E95" s="701"/>
      <c r="F95" s="701"/>
      <c r="G95" s="701"/>
      <c r="H95" s="701"/>
      <c r="I95" s="701"/>
      <c r="J95" s="701"/>
      <c r="K95" s="701"/>
      <c r="L95" s="701"/>
      <c r="M95" s="701"/>
      <c r="N95" s="701"/>
      <c r="O95" s="701"/>
      <c r="P95" s="225"/>
      <c r="Q95" s="225"/>
      <c r="R95" s="225"/>
      <c r="S95" s="225"/>
      <c r="T95" s="225"/>
      <c r="U95" s="225"/>
      <c r="V95" s="225"/>
      <c r="W95" s="225"/>
      <c r="X95" s="701"/>
      <c r="Y95" s="701"/>
      <c r="Z95" s="701"/>
      <c r="AA95" s="701"/>
      <c r="AB95" s="701"/>
      <c r="AC95" s="701"/>
      <c r="AD95" s="701"/>
      <c r="AE95" s="701"/>
      <c r="AF95" s="701"/>
      <c r="AG95" s="701"/>
      <c r="AH95" s="701"/>
      <c r="AI95" s="21"/>
      <c r="AJ95" s="21"/>
      <c r="AK95" s="733"/>
      <c r="AL95" s="733"/>
      <c r="AM95" s="733"/>
      <c r="AN95" s="733"/>
      <c r="AO95" s="733"/>
      <c r="AP95" s="366"/>
      <c r="AQ95" s="735"/>
      <c r="AR95" s="646"/>
      <c r="AS95" s="195"/>
      <c r="AT95" s="80"/>
      <c r="AU95" s="80"/>
      <c r="AV95" s="183">
        <v>1.82</v>
      </c>
      <c r="AW95" s="185">
        <f t="shared" si="8"/>
        <v>0.2857142857142857</v>
      </c>
      <c r="AX95" s="201">
        <f t="shared" si="6"/>
        <v>0.2857142857142857</v>
      </c>
      <c r="AY95" s="187">
        <v>0.91</v>
      </c>
      <c r="AZ95" s="189">
        <f t="shared" si="9"/>
        <v>0.27276322549543053</v>
      </c>
      <c r="BA95" s="202">
        <f t="shared" si="7"/>
        <v>0.27276322549543053</v>
      </c>
      <c r="BB95" s="202">
        <f t="shared" si="10"/>
        <v>1.2662499999999999</v>
      </c>
      <c r="BC95" s="181"/>
      <c r="BO95" s="642"/>
      <c r="BS95" s="8"/>
      <c r="BU95" s="8"/>
      <c r="BV95" s="8"/>
      <c r="BW95" s="8"/>
      <c r="BX95" s="8"/>
      <c r="BY95" s="8"/>
      <c r="BZ95" s="8"/>
      <c r="CA95" s="8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</row>
    <row r="96" spans="2:183" s="76" customFormat="1" ht="12" customHeight="1">
      <c r="B96" s="689" t="s">
        <v>199</v>
      </c>
      <c r="C96" s="690"/>
      <c r="D96" s="731" t="s">
        <v>200</v>
      </c>
      <c r="E96" s="731"/>
      <c r="F96" s="731"/>
      <c r="G96" s="731"/>
      <c r="H96" s="731"/>
      <c r="I96" s="731"/>
      <c r="J96" s="731"/>
      <c r="K96" s="731"/>
      <c r="L96" s="731"/>
      <c r="M96" s="731"/>
      <c r="N96" s="731"/>
      <c r="O96" s="731"/>
      <c r="P96" s="731"/>
      <c r="Q96" s="731"/>
      <c r="R96" s="731"/>
      <c r="S96" s="731"/>
      <c r="T96" s="731"/>
      <c r="U96" s="731"/>
      <c r="V96" s="731"/>
      <c r="W96" s="731"/>
      <c r="X96" s="731"/>
      <c r="Y96" s="731"/>
      <c r="Z96" s="731"/>
      <c r="AA96" s="731"/>
      <c r="AB96" s="731"/>
      <c r="AC96" s="731"/>
      <c r="AD96" s="224"/>
      <c r="AE96" s="224"/>
      <c r="AF96" s="224"/>
      <c r="AG96" s="224"/>
      <c r="AH96" s="224"/>
      <c r="AI96" s="224"/>
      <c r="AJ96" s="21"/>
      <c r="AK96" s="225"/>
      <c r="AL96" s="225"/>
      <c r="AM96" s="225"/>
      <c r="AN96" s="225"/>
      <c r="AO96" s="226"/>
      <c r="AP96" s="366"/>
      <c r="AQ96" s="735">
        <f>0.2*AQ94/AQ92</f>
        <v>0.11555555555555556</v>
      </c>
      <c r="AR96" s="646" t="s">
        <v>266</v>
      </c>
      <c r="AS96" s="195"/>
      <c r="AT96" s="80"/>
      <c r="AU96" s="80"/>
      <c r="AV96" s="183">
        <v>1.84</v>
      </c>
      <c r="AW96" s="185">
        <f t="shared" si="8"/>
        <v>0.28260869565217389</v>
      </c>
      <c r="AX96" s="201">
        <f t="shared" si="6"/>
        <v>0.28260869565217389</v>
      </c>
      <c r="AY96" s="187">
        <v>0.92</v>
      </c>
      <c r="AZ96" s="189">
        <f t="shared" si="9"/>
        <v>0.27195782227054244</v>
      </c>
      <c r="BA96" s="202">
        <f t="shared" si="7"/>
        <v>0.27195782227054244</v>
      </c>
      <c r="BB96" s="202">
        <f t="shared" si="10"/>
        <v>1.27</v>
      </c>
      <c r="BC96" s="181"/>
      <c r="BD96" s="349"/>
      <c r="BE96" s="349"/>
      <c r="BF96" s="349"/>
      <c r="BG96" s="349"/>
      <c r="BH96" s="349"/>
      <c r="BI96" s="349"/>
      <c r="BJ96" s="349"/>
      <c r="BK96" s="349"/>
      <c r="BL96" s="349"/>
      <c r="BM96" s="349"/>
      <c r="BN96" s="349"/>
      <c r="BS96" s="8"/>
      <c r="BU96" s="8"/>
      <c r="BV96" s="8"/>
      <c r="BW96" s="8"/>
      <c r="BX96" s="8"/>
      <c r="BY96" s="8"/>
      <c r="BZ96" s="8"/>
      <c r="CA96" s="8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</row>
    <row r="97" spans="2:183" s="76" customFormat="1" ht="12" customHeight="1">
      <c r="B97" s="690"/>
      <c r="C97" s="690"/>
      <c r="D97" s="731"/>
      <c r="E97" s="731"/>
      <c r="F97" s="731"/>
      <c r="G97" s="731"/>
      <c r="H97" s="731"/>
      <c r="I97" s="731"/>
      <c r="J97" s="731"/>
      <c r="K97" s="731"/>
      <c r="L97" s="731"/>
      <c r="M97" s="731"/>
      <c r="N97" s="731"/>
      <c r="O97" s="731"/>
      <c r="P97" s="731"/>
      <c r="Q97" s="731"/>
      <c r="R97" s="731"/>
      <c r="S97" s="731"/>
      <c r="T97" s="731"/>
      <c r="U97" s="731"/>
      <c r="V97" s="731"/>
      <c r="W97" s="731"/>
      <c r="X97" s="731"/>
      <c r="Y97" s="731"/>
      <c r="Z97" s="731"/>
      <c r="AA97" s="731"/>
      <c r="AB97" s="731"/>
      <c r="AC97" s="731"/>
      <c r="AD97" s="224"/>
      <c r="AE97" s="224"/>
      <c r="AF97" s="224"/>
      <c r="AG97" s="224"/>
      <c r="AH97" s="224"/>
      <c r="AI97" s="224"/>
      <c r="AJ97" s="21"/>
      <c r="AK97" s="225"/>
      <c r="AL97" s="225"/>
      <c r="AM97" s="225"/>
      <c r="AN97" s="225"/>
      <c r="AO97" s="226"/>
      <c r="AP97" s="366"/>
      <c r="AQ97" s="735"/>
      <c r="AR97" s="646"/>
      <c r="AS97" s="195"/>
      <c r="AT97" s="80"/>
      <c r="AU97" s="80"/>
      <c r="AV97" s="183">
        <v>1.86</v>
      </c>
      <c r="AW97" s="185">
        <f t="shared" si="8"/>
        <v>0.27956989247311825</v>
      </c>
      <c r="AX97" s="201">
        <f t="shared" si="6"/>
        <v>0.27956989247311825</v>
      </c>
      <c r="AY97" s="187">
        <v>0.93</v>
      </c>
      <c r="AZ97" s="189">
        <f t="shared" si="9"/>
        <v>0.27115716136101192</v>
      </c>
      <c r="BA97" s="202">
        <f t="shared" si="7"/>
        <v>0.27115716136101192</v>
      </c>
      <c r="BB97" s="202">
        <f t="shared" si="10"/>
        <v>1.2737499999999999</v>
      </c>
      <c r="BC97" s="181"/>
      <c r="BD97" s="349"/>
      <c r="BE97" s="349"/>
      <c r="BF97" s="349"/>
      <c r="BG97" s="349"/>
      <c r="BH97" s="349"/>
      <c r="BI97" s="349"/>
      <c r="BJ97" s="349"/>
      <c r="BK97" s="349"/>
      <c r="BL97" s="349"/>
      <c r="BM97" s="349"/>
      <c r="BN97" s="349"/>
      <c r="BS97" s="8"/>
      <c r="BU97" s="8"/>
      <c r="BV97" s="8"/>
      <c r="BW97" s="8"/>
      <c r="BX97" s="8"/>
      <c r="BY97" s="8"/>
      <c r="BZ97" s="8"/>
      <c r="CA97" s="8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</row>
    <row r="98" spans="2:183" s="76" customFormat="1" ht="12" customHeight="1">
      <c r="B98" s="223"/>
      <c r="C98" s="223"/>
      <c r="D98" s="701">
        <v>6</v>
      </c>
      <c r="E98" s="701"/>
      <c r="F98" s="224"/>
      <c r="G98" s="224"/>
      <c r="H98" s="224"/>
      <c r="J98" s="701">
        <f>ROUND(((AL86*AE82)/(AL84*AK82)),5)</f>
        <v>0.57777999999999996</v>
      </c>
      <c r="K98" s="701"/>
      <c r="L98" s="701"/>
      <c r="M98" s="701"/>
      <c r="N98" s="701"/>
      <c r="O98" s="21"/>
      <c r="P98" s="21"/>
      <c r="Q98" s="225"/>
      <c r="R98" s="225"/>
      <c r="S98" s="225"/>
      <c r="T98" s="225"/>
      <c r="U98" s="225"/>
      <c r="V98" s="225"/>
      <c r="W98" s="701" t="str">
        <f>"0.2 * " &amp; ROUND(((AL86*AE82)/(AL84*AK82)),3) &amp; "= " &amp; ROUND((0.2*(AL86*AE82)/(AL84*AK82)),5)</f>
        <v>0.2 * 0.578= 0.11556</v>
      </c>
      <c r="X98" s="701"/>
      <c r="Y98" s="701"/>
      <c r="Z98" s="701"/>
      <c r="AA98" s="701"/>
      <c r="AB98" s="701"/>
      <c r="AC98" s="701"/>
      <c r="AD98" s="701"/>
      <c r="AE98" s="701"/>
      <c r="AF98" s="701"/>
      <c r="AG98" s="21"/>
      <c r="AH98" s="224"/>
      <c r="AI98" s="224"/>
      <c r="AJ98" s="21"/>
      <c r="AK98" s="225"/>
      <c r="AL98" s="225"/>
      <c r="AM98" s="225"/>
      <c r="AN98" s="225"/>
      <c r="AO98" s="226"/>
      <c r="AP98" s="366"/>
      <c r="AQ98" s="735">
        <f>AQ94/AQ92</f>
        <v>0.57777777777777783</v>
      </c>
      <c r="AR98" s="646" t="s">
        <v>267</v>
      </c>
      <c r="AS98" s="195"/>
      <c r="AT98" s="80"/>
      <c r="AU98" s="80"/>
      <c r="AV98" s="183">
        <v>1.88</v>
      </c>
      <c r="AW98" s="185">
        <f t="shared" si="8"/>
        <v>0.27659574468085107</v>
      </c>
      <c r="AX98" s="201">
        <f t="shared" si="6"/>
        <v>0.27659574468085107</v>
      </c>
      <c r="AY98" s="187">
        <v>0.94</v>
      </c>
      <c r="AZ98" s="189">
        <f t="shared" si="9"/>
        <v>0.27036120100476629</v>
      </c>
      <c r="BA98" s="202">
        <f t="shared" si="7"/>
        <v>0.27036120100476629</v>
      </c>
      <c r="BB98" s="202">
        <f t="shared" si="10"/>
        <v>1.2774999999999999</v>
      </c>
      <c r="BC98" s="181"/>
      <c r="BD98" s="349"/>
      <c r="BE98" s="349"/>
      <c r="BF98" s="349"/>
      <c r="BG98" s="349"/>
      <c r="BH98" s="349"/>
      <c r="BI98" s="349"/>
      <c r="BJ98" s="349"/>
      <c r="BK98" s="349"/>
      <c r="BL98" s="349"/>
      <c r="BM98" s="349"/>
      <c r="BN98" s="349"/>
      <c r="BS98" s="8"/>
      <c r="BU98" s="8"/>
      <c r="BV98" s="8"/>
      <c r="BW98" s="8"/>
      <c r="BX98" s="8"/>
      <c r="BY98" s="8"/>
      <c r="BZ98" s="8"/>
      <c r="CA98" s="8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</row>
    <row r="99" spans="2:183" s="76" customFormat="1" ht="12" customHeight="1">
      <c r="B99" s="223"/>
      <c r="C99" s="223"/>
      <c r="D99" s="701"/>
      <c r="E99" s="701"/>
      <c r="F99" s="224"/>
      <c r="G99" s="224"/>
      <c r="H99" s="224"/>
      <c r="I99" s="21"/>
      <c r="J99" s="701"/>
      <c r="K99" s="701"/>
      <c r="L99" s="701"/>
      <c r="M99" s="701"/>
      <c r="N99" s="701"/>
      <c r="O99" s="21"/>
      <c r="P99" s="21"/>
      <c r="Q99" s="225"/>
      <c r="R99" s="225"/>
      <c r="S99" s="225"/>
      <c r="T99" s="225"/>
      <c r="U99" s="225"/>
      <c r="V99" s="225"/>
      <c r="W99" s="701"/>
      <c r="X99" s="701"/>
      <c r="Y99" s="701"/>
      <c r="Z99" s="701"/>
      <c r="AA99" s="701"/>
      <c r="AB99" s="701"/>
      <c r="AC99" s="701"/>
      <c r="AD99" s="701"/>
      <c r="AE99" s="701"/>
      <c r="AF99" s="701"/>
      <c r="AG99" s="21"/>
      <c r="AH99" s="224"/>
      <c r="AI99" s="224"/>
      <c r="AJ99" s="21"/>
      <c r="AK99" s="225"/>
      <c r="AL99" s="225"/>
      <c r="AM99" s="225"/>
      <c r="AN99" s="225"/>
      <c r="AO99" s="226"/>
      <c r="AP99" s="366"/>
      <c r="AQ99" s="735"/>
      <c r="AR99" s="646"/>
      <c r="AS99" s="195"/>
      <c r="AT99" s="80"/>
      <c r="AU99" s="80"/>
      <c r="AV99" s="183">
        <v>1.9</v>
      </c>
      <c r="AW99" s="185">
        <f t="shared" si="8"/>
        <v>0.27368421052631581</v>
      </c>
      <c r="AX99" s="201">
        <f t="shared" si="6"/>
        <v>0.27368421052631581</v>
      </c>
      <c r="AY99" s="187">
        <v>0.95</v>
      </c>
      <c r="AZ99" s="189">
        <f t="shared" si="9"/>
        <v>0.26956989992865477</v>
      </c>
      <c r="BA99" s="202">
        <f t="shared" si="7"/>
        <v>0.26956989992865477</v>
      </c>
      <c r="BB99" s="202">
        <f t="shared" si="10"/>
        <v>1.28125</v>
      </c>
      <c r="BC99" s="181"/>
      <c r="BD99" s="349"/>
      <c r="BE99" s="349"/>
      <c r="BF99" s="349"/>
      <c r="BG99" s="349"/>
      <c r="BH99" s="349"/>
      <c r="BI99" s="349"/>
      <c r="BJ99" s="349"/>
      <c r="BK99" s="349"/>
      <c r="BL99" s="349"/>
      <c r="BM99" s="349"/>
      <c r="BN99" s="349"/>
      <c r="BS99" s="8"/>
      <c r="BU99" s="8"/>
      <c r="BV99" s="8"/>
      <c r="BW99" s="8"/>
      <c r="BX99" s="8"/>
      <c r="BY99" s="8"/>
      <c r="BZ99" s="8"/>
      <c r="CA99" s="8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</row>
    <row r="100" spans="2:183" s="76" customFormat="1" ht="12" customHeight="1">
      <c r="B100" s="689" t="s">
        <v>199</v>
      </c>
      <c r="C100" s="690"/>
      <c r="D100" s="824" t="str">
        <f>"براساس بند ۱-۲-۹-۳، روابط تجربی محاسبه دوره تناوب ضریب زلزله، با توجه به سیستم «" &amp; Y30 &amp; "» و «" &amp; Y34 &amp; "» برای ساختمان با ارتفاع «" &amp; AK36&amp;" متر» برابر است با:"</f>
        <v>براساس بند ۱-۲-۹-۳، روابط تجربی محاسبه دوره تناوب ضریب زلزله، با توجه به سیستم «قاب خمشی بتن‌آرمه | بدون تاثیر جداگرهای میانقابی» و «افزایش ۱.۴ برابر نتایج حاصل از روابط تجربی» برای ساختمان با ارتفاع «15 متر» برابر است با:</v>
      </c>
      <c r="E100" s="824"/>
      <c r="F100" s="824"/>
      <c r="G100" s="824"/>
      <c r="H100" s="824"/>
      <c r="I100" s="824"/>
      <c r="J100" s="824"/>
      <c r="K100" s="824"/>
      <c r="L100" s="824"/>
      <c r="M100" s="824"/>
      <c r="N100" s="824"/>
      <c r="O100" s="824"/>
      <c r="P100" s="824"/>
      <c r="Q100" s="824"/>
      <c r="R100" s="824"/>
      <c r="S100" s="824"/>
      <c r="T100" s="824"/>
      <c r="U100" s="824"/>
      <c r="V100" s="824"/>
      <c r="W100" s="824"/>
      <c r="X100" s="824"/>
      <c r="Y100" s="824"/>
      <c r="Z100" s="824"/>
      <c r="AA100" s="824"/>
      <c r="AB100" s="824"/>
      <c r="AC100" s="824"/>
      <c r="AD100" s="824"/>
      <c r="AE100" s="824"/>
      <c r="AF100" s="824"/>
      <c r="AG100" s="824"/>
      <c r="AH100" s="824"/>
      <c r="AI100" s="824"/>
      <c r="AJ100" s="824"/>
      <c r="AK100" s="824"/>
      <c r="AL100" s="824"/>
      <c r="AM100" s="824"/>
      <c r="AN100" s="824"/>
      <c r="AO100" s="824"/>
      <c r="AP100" s="824"/>
      <c r="AQ100" s="735">
        <v>6</v>
      </c>
      <c r="AR100" s="646" t="s">
        <v>268</v>
      </c>
      <c r="AS100" s="195"/>
      <c r="AT100" s="80"/>
      <c r="AU100" s="80"/>
      <c r="AV100" s="183">
        <v>1.92</v>
      </c>
      <c r="AW100" s="185">
        <f t="shared" si="8"/>
        <v>0.27083333333333337</v>
      </c>
      <c r="AX100" s="201">
        <f t="shared" si="6"/>
        <v>0.27083333333333337</v>
      </c>
      <c r="AY100" s="187">
        <v>0.96</v>
      </c>
      <c r="AZ100" s="189">
        <f t="shared" si="9"/>
        <v>0.26878321734131427</v>
      </c>
      <c r="BA100" s="202">
        <f t="shared" si="7"/>
        <v>0.26878321734131427</v>
      </c>
      <c r="BB100" s="202">
        <f t="shared" si="10"/>
        <v>1.2850000000000001</v>
      </c>
      <c r="BC100" s="181"/>
      <c r="BD100" s="349"/>
      <c r="BE100" s="349"/>
      <c r="BF100" s="349"/>
      <c r="BG100" s="349"/>
      <c r="BH100" s="349"/>
      <c r="BI100" s="349"/>
      <c r="BJ100" s="349"/>
      <c r="BK100" s="349"/>
      <c r="BL100" s="349"/>
      <c r="BM100" s="349"/>
      <c r="BN100" s="349"/>
      <c r="BS100" s="8"/>
      <c r="BU100" s="8"/>
      <c r="BV100" s="8"/>
      <c r="BW100" s="8"/>
      <c r="BX100" s="8"/>
      <c r="BY100" s="8"/>
      <c r="BZ100" s="8"/>
      <c r="CA100" s="8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</row>
    <row r="101" spans="2:183" s="76" customFormat="1" ht="12" customHeight="1">
      <c r="B101" s="690"/>
      <c r="C101" s="690"/>
      <c r="D101" s="824"/>
      <c r="E101" s="824"/>
      <c r="F101" s="824"/>
      <c r="G101" s="824"/>
      <c r="H101" s="824"/>
      <c r="I101" s="824"/>
      <c r="J101" s="824"/>
      <c r="K101" s="824"/>
      <c r="L101" s="824"/>
      <c r="M101" s="824"/>
      <c r="N101" s="824"/>
      <c r="O101" s="824"/>
      <c r="P101" s="824"/>
      <c r="Q101" s="824"/>
      <c r="R101" s="824"/>
      <c r="S101" s="824"/>
      <c r="T101" s="824"/>
      <c r="U101" s="824"/>
      <c r="V101" s="824"/>
      <c r="W101" s="824"/>
      <c r="X101" s="824"/>
      <c r="Y101" s="824"/>
      <c r="Z101" s="824"/>
      <c r="AA101" s="824"/>
      <c r="AB101" s="824"/>
      <c r="AC101" s="824"/>
      <c r="AD101" s="824"/>
      <c r="AE101" s="824"/>
      <c r="AF101" s="824"/>
      <c r="AG101" s="824"/>
      <c r="AH101" s="824"/>
      <c r="AI101" s="824"/>
      <c r="AJ101" s="824"/>
      <c r="AK101" s="824"/>
      <c r="AL101" s="824"/>
      <c r="AM101" s="824"/>
      <c r="AN101" s="824"/>
      <c r="AO101" s="824"/>
      <c r="AP101" s="824"/>
      <c r="AQ101" s="735"/>
      <c r="AR101" s="646"/>
      <c r="AS101" s="195"/>
      <c r="AT101" s="80"/>
      <c r="AU101" s="80"/>
      <c r="AV101" s="183">
        <v>1.94</v>
      </c>
      <c r="AW101" s="185">
        <f t="shared" si="8"/>
        <v>0.26804123711340205</v>
      </c>
      <c r="AX101" s="201">
        <f t="shared" si="6"/>
        <v>0.26804123711340205</v>
      </c>
      <c r="AY101" s="187">
        <v>0.97</v>
      </c>
      <c r="AZ101" s="189">
        <f t="shared" si="9"/>
        <v>0.26800111292616013</v>
      </c>
      <c r="BA101" s="202">
        <f t="shared" si="7"/>
        <v>0.26800111292616013</v>
      </c>
      <c r="BB101" s="202">
        <f t="shared" si="10"/>
        <v>1.2887500000000001</v>
      </c>
      <c r="BC101" s="208"/>
      <c r="BD101" s="349"/>
      <c r="BE101" s="349"/>
      <c r="BF101" s="349"/>
      <c r="BG101" s="349"/>
      <c r="BH101" s="349"/>
      <c r="BI101" s="349"/>
      <c r="BJ101" s="349"/>
      <c r="BK101" s="349"/>
      <c r="BL101" s="349"/>
      <c r="BM101" s="349"/>
      <c r="BN101" s="349"/>
      <c r="BS101" s="8"/>
      <c r="BU101" s="8"/>
      <c r="BV101" s="8"/>
      <c r="BW101" s="8"/>
      <c r="BX101" s="8"/>
      <c r="BY101" s="8"/>
      <c r="BZ101" s="8"/>
      <c r="CA101" s="8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</row>
    <row r="102" spans="2:183" s="76" customFormat="1" ht="12" customHeight="1">
      <c r="B102" s="223"/>
      <c r="C102" s="223"/>
      <c r="D102" s="824"/>
      <c r="E102" s="824"/>
      <c r="F102" s="824"/>
      <c r="G102" s="824"/>
      <c r="H102" s="824"/>
      <c r="I102" s="824"/>
      <c r="J102" s="824"/>
      <c r="K102" s="824"/>
      <c r="L102" s="824"/>
      <c r="M102" s="824"/>
      <c r="N102" s="824"/>
      <c r="O102" s="824"/>
      <c r="P102" s="824"/>
      <c r="Q102" s="824"/>
      <c r="R102" s="824"/>
      <c r="S102" s="824"/>
      <c r="T102" s="824"/>
      <c r="U102" s="824"/>
      <c r="V102" s="824"/>
      <c r="W102" s="824"/>
      <c r="X102" s="824"/>
      <c r="Y102" s="824"/>
      <c r="Z102" s="824"/>
      <c r="AA102" s="824"/>
      <c r="AB102" s="824"/>
      <c r="AC102" s="824"/>
      <c r="AD102" s="824"/>
      <c r="AE102" s="824"/>
      <c r="AF102" s="824"/>
      <c r="AG102" s="824"/>
      <c r="AH102" s="824"/>
      <c r="AI102" s="824"/>
      <c r="AJ102" s="824"/>
      <c r="AK102" s="824"/>
      <c r="AL102" s="824"/>
      <c r="AM102" s="824"/>
      <c r="AN102" s="824"/>
      <c r="AO102" s="824"/>
      <c r="AP102" s="824"/>
      <c r="AQ102" s="179"/>
      <c r="AR102" s="180"/>
      <c r="AS102" s="195"/>
      <c r="AT102" s="80"/>
      <c r="AU102" s="80"/>
      <c r="AV102" s="183">
        <v>1.96</v>
      </c>
      <c r="AW102" s="185">
        <f t="shared" si="8"/>
        <v>0.26530612244897961</v>
      </c>
      <c r="AX102" s="201">
        <f t="shared" si="6"/>
        <v>0.26530612244897961</v>
      </c>
      <c r="AY102" s="187">
        <v>0.98</v>
      </c>
      <c r="AZ102" s="189">
        <f t="shared" si="9"/>
        <v>0.26722354683449817</v>
      </c>
      <c r="BA102" s="202">
        <f t="shared" si="7"/>
        <v>0.26722354683449817</v>
      </c>
      <c r="BB102" s="202">
        <f t="shared" si="10"/>
        <v>1.2925</v>
      </c>
      <c r="BC102" s="208"/>
      <c r="BD102" s="349"/>
      <c r="BE102" s="349"/>
      <c r="BF102" s="349"/>
      <c r="BG102" s="349"/>
      <c r="BH102" s="349"/>
      <c r="BI102" s="349"/>
      <c r="BJ102" s="349"/>
      <c r="BK102" s="349"/>
      <c r="BL102" s="349"/>
      <c r="BM102" s="349"/>
      <c r="BN102" s="349"/>
      <c r="BS102" s="8"/>
      <c r="BU102" s="8"/>
      <c r="BV102" s="8"/>
      <c r="BW102" s="8"/>
      <c r="BX102" s="8"/>
      <c r="BY102" s="8"/>
      <c r="BZ102" s="8"/>
      <c r="CA102" s="8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</row>
    <row r="103" spans="2:183" s="76" customFormat="1" ht="12" customHeight="1">
      <c r="B103" s="223"/>
      <c r="C103" s="223"/>
      <c r="D103" s="227"/>
      <c r="E103" s="224"/>
      <c r="F103" s="224"/>
      <c r="G103" s="224"/>
      <c r="H103" s="224"/>
      <c r="I103" s="224"/>
      <c r="J103" s="224"/>
      <c r="K103" s="224"/>
      <c r="L103" s="691">
        <f>IF(Y34=CI6,1.4*AA103,"")</f>
        <v>0.75277999999999989</v>
      </c>
      <c r="M103" s="691"/>
      <c r="N103" s="691"/>
      <c r="O103" s="691"/>
      <c r="P103" s="680" t="str">
        <f>IF(Y34=CI6,"1.4T(تجربی) =","")</f>
        <v>1.4T(تجربی) =</v>
      </c>
      <c r="Q103" s="680"/>
      <c r="R103" s="680"/>
      <c r="S103" s="680"/>
      <c r="T103" s="680"/>
      <c r="U103" s="680"/>
      <c r="V103" s="229"/>
      <c r="W103" s="230"/>
      <c r="X103" s="230"/>
      <c r="Y103" s="230"/>
      <c r="Z103" s="230"/>
      <c r="AA103" s="707">
        <f>ROUND(IF(Y30=CG8,CH8,IF(Y30=CG9,CH9,IF(Y30=CG10,CH10,IF(Y30=CG11,CH11,"Error")))),4)</f>
        <v>0.53769999999999996</v>
      </c>
      <c r="AB103" s="707"/>
      <c r="AC103" s="707"/>
      <c r="AD103" s="707"/>
      <c r="AE103" s="232"/>
      <c r="AF103" s="825">
        <f>IF(Y30=CG8,0.8,IF(Y30=CG9,0.9,IF(Y30=CG10,0.75,0.75)))</f>
        <v>0.9</v>
      </c>
      <c r="AG103" s="825"/>
      <c r="AH103" s="825"/>
      <c r="AI103" s="21"/>
      <c r="AJ103" s="21"/>
      <c r="AK103" s="21"/>
      <c r="AL103" s="21"/>
      <c r="AM103" s="681" t="s">
        <v>210</v>
      </c>
      <c r="AN103" s="681"/>
      <c r="AO103" s="681"/>
      <c r="AP103" s="681"/>
      <c r="AQ103" s="740">
        <f>MAX(AA103,L103)</f>
        <v>0.75277999999999989</v>
      </c>
      <c r="AR103" s="737" t="s">
        <v>269</v>
      </c>
      <c r="AS103" s="195"/>
      <c r="AT103" s="80"/>
      <c r="AU103" s="80"/>
      <c r="AV103" s="183">
        <v>1.98</v>
      </c>
      <c r="AW103" s="185">
        <f t="shared" si="8"/>
        <v>0.26262626262626265</v>
      </c>
      <c r="AX103" s="201">
        <f t="shared" si="6"/>
        <v>0.26262626262626265</v>
      </c>
      <c r="AY103" s="187">
        <v>0.99</v>
      </c>
      <c r="AZ103" s="189">
        <f t="shared" si="9"/>
        <v>0.26645047967875707</v>
      </c>
      <c r="BA103" s="202">
        <f t="shared" si="7"/>
        <v>0.26645047967875707</v>
      </c>
      <c r="BB103" s="202">
        <f t="shared" si="10"/>
        <v>1.2962500000000001</v>
      </c>
      <c r="BC103" s="208"/>
      <c r="BD103" s="349"/>
      <c r="BE103" s="349"/>
      <c r="BF103" s="349"/>
      <c r="BG103" s="349"/>
      <c r="BH103" s="349"/>
      <c r="BI103" s="349"/>
      <c r="BJ103" s="349"/>
      <c r="BK103" s="349"/>
      <c r="BL103" s="349"/>
      <c r="BM103" s="349"/>
      <c r="BN103" s="349"/>
      <c r="BS103" s="8"/>
      <c r="BU103" s="8"/>
      <c r="BV103" s="8"/>
      <c r="BW103" s="8"/>
      <c r="BX103" s="8"/>
      <c r="BY103" s="8"/>
      <c r="BZ103" s="8"/>
      <c r="CA103" s="8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</row>
    <row r="104" spans="2:183" s="76" customFormat="1" ht="12" customHeight="1">
      <c r="B104" s="223"/>
      <c r="C104" s="223"/>
      <c r="D104" s="227"/>
      <c r="E104" s="224"/>
      <c r="F104" s="224"/>
      <c r="G104" s="224"/>
      <c r="H104" s="224"/>
      <c r="I104" s="224"/>
      <c r="J104" s="224"/>
      <c r="K104" s="224"/>
      <c r="L104" s="691"/>
      <c r="M104" s="691"/>
      <c r="N104" s="691"/>
      <c r="O104" s="691"/>
      <c r="P104" s="680"/>
      <c r="Q104" s="680"/>
      <c r="R104" s="680"/>
      <c r="S104" s="680"/>
      <c r="T104" s="680"/>
      <c r="U104" s="680"/>
      <c r="V104" s="229"/>
      <c r="W104" s="230"/>
      <c r="X104" s="230"/>
      <c r="Y104" s="230"/>
      <c r="Z104" s="230"/>
      <c r="AA104" s="707"/>
      <c r="AB104" s="707"/>
      <c r="AC104" s="707"/>
      <c r="AD104" s="707"/>
      <c r="AE104" s="691" t="s">
        <v>0</v>
      </c>
      <c r="AF104" s="691"/>
      <c r="AG104" s="826" t="str">
        <f>IF(Y30=CG8,0.072,IF(Y30=CG9,0.047,IF(Y30=CG10,0.073,0.049)))&amp; " * " &amp;AK36</f>
        <v>0.047 * 15</v>
      </c>
      <c r="AH104" s="826"/>
      <c r="AI104" s="826"/>
      <c r="AJ104" s="826"/>
      <c r="AK104" s="826"/>
      <c r="AL104" s="826"/>
      <c r="AM104" s="681"/>
      <c r="AN104" s="681"/>
      <c r="AO104" s="681"/>
      <c r="AP104" s="681"/>
      <c r="AQ104" s="735"/>
      <c r="AR104" s="737"/>
      <c r="AS104" s="180"/>
      <c r="AT104" s="80"/>
      <c r="AU104" s="80"/>
      <c r="AV104" s="183">
        <v>2</v>
      </c>
      <c r="AW104" s="185">
        <f t="shared" si="8"/>
        <v>0.26</v>
      </c>
      <c r="AX104" s="201">
        <f t="shared" si="6"/>
        <v>0.26</v>
      </c>
      <c r="AY104" s="187">
        <v>1</v>
      </c>
      <c r="AZ104" s="189">
        <f t="shared" si="9"/>
        <v>0.26568187252583758</v>
      </c>
      <c r="BA104" s="202">
        <f t="shared" si="7"/>
        <v>0.26568187252583758</v>
      </c>
      <c r="BB104" s="202">
        <f t="shared" si="10"/>
        <v>1.3</v>
      </c>
      <c r="BC104" s="208"/>
      <c r="BD104" s="349"/>
      <c r="BE104" s="349"/>
      <c r="BF104" s="349"/>
      <c r="BG104" s="349"/>
      <c r="BH104" s="349"/>
      <c r="BI104" s="349"/>
      <c r="BJ104" s="349"/>
      <c r="BK104" s="349"/>
      <c r="BL104" s="349"/>
      <c r="BM104" s="349"/>
      <c r="BN104" s="349"/>
      <c r="BS104" s="8"/>
      <c r="BU104" s="8"/>
      <c r="BV104" s="8"/>
      <c r="BW104" s="8"/>
      <c r="BX104" s="8"/>
      <c r="BY104" s="8"/>
      <c r="BZ104" s="8"/>
      <c r="CA104" s="8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</row>
    <row r="105" spans="2:183" s="76" customFormat="1" ht="12" customHeight="1">
      <c r="B105" s="223"/>
      <c r="C105" s="223"/>
      <c r="D105" s="227"/>
      <c r="E105" s="224"/>
      <c r="F105" s="224"/>
      <c r="G105" s="224"/>
      <c r="H105" s="224"/>
      <c r="I105" s="224"/>
      <c r="J105" s="224"/>
      <c r="K105" s="224"/>
      <c r="L105" s="691"/>
      <c r="M105" s="691"/>
      <c r="N105" s="691"/>
      <c r="O105" s="691"/>
      <c r="P105" s="680"/>
      <c r="Q105" s="680"/>
      <c r="R105" s="680"/>
      <c r="S105" s="680"/>
      <c r="T105" s="680"/>
      <c r="U105" s="680"/>
      <c r="V105" s="229"/>
      <c r="W105" s="230"/>
      <c r="X105" s="230"/>
      <c r="Y105" s="230"/>
      <c r="Z105" s="230"/>
      <c r="AA105" s="707"/>
      <c r="AB105" s="707"/>
      <c r="AC105" s="707"/>
      <c r="AD105" s="707"/>
      <c r="AE105" s="233"/>
      <c r="AF105" s="21"/>
      <c r="AG105" s="826"/>
      <c r="AH105" s="826"/>
      <c r="AI105" s="826"/>
      <c r="AJ105" s="826"/>
      <c r="AK105" s="826"/>
      <c r="AL105" s="826"/>
      <c r="AM105" s="681"/>
      <c r="AN105" s="681"/>
      <c r="AO105" s="681"/>
      <c r="AP105" s="681"/>
      <c r="AQ105" s="196"/>
      <c r="AR105" s="197"/>
      <c r="AS105" s="194"/>
      <c r="AT105" s="80"/>
      <c r="AU105" s="80"/>
      <c r="AV105" s="183">
        <v>2.02</v>
      </c>
      <c r="AW105" s="185">
        <f t="shared" si="8"/>
        <v>0.25742574257425743</v>
      </c>
      <c r="AX105" s="201">
        <f t="shared" si="6"/>
        <v>0.25742574257425743</v>
      </c>
      <c r="AY105" s="187">
        <v>1.01</v>
      </c>
      <c r="AZ105" s="189">
        <f t="shared" si="9"/>
        <v>0.26568187252583758</v>
      </c>
      <c r="BA105" s="202">
        <f t="shared" si="7"/>
        <v>0.26568187252583758</v>
      </c>
      <c r="BB105" s="202">
        <f t="shared" si="10"/>
        <v>1.3</v>
      </c>
      <c r="BC105" s="208"/>
      <c r="BD105" s="349"/>
      <c r="BE105" s="349"/>
      <c r="BF105" s="349"/>
      <c r="BG105" s="349"/>
      <c r="BH105" s="349"/>
      <c r="BI105" s="349"/>
      <c r="BJ105" s="349"/>
      <c r="BK105" s="349"/>
      <c r="BL105" s="349"/>
      <c r="BM105" s="349"/>
      <c r="BN105" s="349"/>
      <c r="BS105" s="8"/>
      <c r="BU105" s="8"/>
      <c r="BV105" s="8"/>
      <c r="BW105" s="8"/>
      <c r="BX105" s="8"/>
      <c r="BY105" s="8"/>
      <c r="BZ105" s="8"/>
      <c r="CA105" s="8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</row>
    <row r="106" spans="2:183" s="76" customFormat="1" ht="12" customHeight="1">
      <c r="B106" s="689" t="s">
        <v>199</v>
      </c>
      <c r="C106" s="690"/>
      <c r="D106" s="720" t="str">
        <f>"با توجه کاربری سازه، گروه اهمیت سازه برابر است با «" &amp;Y28&amp; "» که ضریب اهمیت آن برابر است با:"</f>
        <v>با توجه کاربری سازه، گروه اهمیت سازه برابر است با «گروه3- ساختمان های با اهمیت متوسط» که ضریب اهمیت آن برابر است با:</v>
      </c>
      <c r="E106" s="720"/>
      <c r="F106" s="720"/>
      <c r="G106" s="720"/>
      <c r="H106" s="720"/>
      <c r="I106" s="720"/>
      <c r="J106" s="720"/>
      <c r="K106" s="720"/>
      <c r="L106" s="720"/>
      <c r="M106" s="720"/>
      <c r="N106" s="720"/>
      <c r="O106" s="720"/>
      <c r="P106" s="720"/>
      <c r="Q106" s="720"/>
      <c r="R106" s="720"/>
      <c r="S106" s="720"/>
      <c r="T106" s="720"/>
      <c r="U106" s="720"/>
      <c r="V106" s="720"/>
      <c r="W106" s="720"/>
      <c r="X106" s="720"/>
      <c r="Y106" s="720"/>
      <c r="Z106" s="720"/>
      <c r="AA106" s="720"/>
      <c r="AB106" s="720"/>
      <c r="AC106" s="720"/>
      <c r="AD106" s="720"/>
      <c r="AE106" s="720"/>
      <c r="AF106" s="720"/>
      <c r="AG106" s="720"/>
      <c r="AH106" s="720"/>
      <c r="AI106" s="720"/>
      <c r="AJ106" s="720"/>
      <c r="AK106" s="720"/>
      <c r="AL106" s="720"/>
      <c r="AM106" s="697" t="str">
        <f>IF(Y28=BR8,"1.4",IF(Y28=BR9,"1.2",IF(Y28=BR10,"1",IF(Y28=BR11,"0.8","Error"))))</f>
        <v>1</v>
      </c>
      <c r="AN106" s="697"/>
      <c r="AO106" s="681" t="s">
        <v>229</v>
      </c>
      <c r="AP106" s="681"/>
      <c r="AQ106" s="738"/>
      <c r="AR106" s="736"/>
      <c r="AS106" s="194"/>
      <c r="AT106" s="80"/>
      <c r="AU106" s="80"/>
      <c r="AV106" s="183">
        <v>2.04</v>
      </c>
      <c r="AW106" s="185">
        <f t="shared" si="8"/>
        <v>0.25490196078431371</v>
      </c>
      <c r="AX106" s="201">
        <f t="shared" si="6"/>
        <v>0.25490196078431371</v>
      </c>
      <c r="AY106" s="187">
        <v>1.02</v>
      </c>
      <c r="AZ106" s="189">
        <f t="shared" si="9"/>
        <v>0.26568187252583758</v>
      </c>
      <c r="BA106" s="202">
        <f t="shared" si="7"/>
        <v>0.26568187252583758</v>
      </c>
      <c r="BB106" s="202">
        <f t="shared" si="10"/>
        <v>1.3</v>
      </c>
      <c r="BC106" s="208"/>
      <c r="BD106" s="349"/>
      <c r="BE106" s="349"/>
      <c r="BF106" s="349"/>
      <c r="BG106" s="349"/>
      <c r="BH106" s="349"/>
      <c r="BI106" s="349"/>
      <c r="BJ106" s="349"/>
      <c r="BK106" s="349"/>
      <c r="BL106" s="349"/>
      <c r="BM106" s="349"/>
      <c r="BN106" s="349"/>
      <c r="BS106" s="8"/>
      <c r="BU106" s="8"/>
      <c r="BV106" s="8"/>
      <c r="BW106" s="8"/>
      <c r="BX106" s="8"/>
      <c r="BY106" s="8"/>
      <c r="BZ106" s="8"/>
      <c r="CA106" s="8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</row>
    <row r="107" spans="2:183" s="76" customFormat="1" ht="12" customHeight="1">
      <c r="B107" s="690"/>
      <c r="C107" s="690"/>
      <c r="D107" s="720"/>
      <c r="E107" s="720"/>
      <c r="F107" s="720"/>
      <c r="G107" s="720"/>
      <c r="H107" s="720"/>
      <c r="I107" s="720"/>
      <c r="J107" s="720"/>
      <c r="K107" s="720"/>
      <c r="L107" s="720"/>
      <c r="M107" s="720"/>
      <c r="N107" s="720"/>
      <c r="O107" s="720"/>
      <c r="P107" s="720"/>
      <c r="Q107" s="720"/>
      <c r="R107" s="720"/>
      <c r="S107" s="720"/>
      <c r="T107" s="720"/>
      <c r="U107" s="720"/>
      <c r="V107" s="720"/>
      <c r="W107" s="720"/>
      <c r="X107" s="720"/>
      <c r="Y107" s="720"/>
      <c r="Z107" s="720"/>
      <c r="AA107" s="720"/>
      <c r="AB107" s="720"/>
      <c r="AC107" s="720"/>
      <c r="AD107" s="720"/>
      <c r="AE107" s="720"/>
      <c r="AF107" s="720"/>
      <c r="AG107" s="720"/>
      <c r="AH107" s="720"/>
      <c r="AI107" s="720"/>
      <c r="AJ107" s="720"/>
      <c r="AK107" s="720"/>
      <c r="AL107" s="720"/>
      <c r="AM107" s="697"/>
      <c r="AN107" s="697"/>
      <c r="AO107" s="681"/>
      <c r="AP107" s="681"/>
      <c r="AQ107" s="739"/>
      <c r="AR107" s="737"/>
      <c r="AS107" s="198"/>
      <c r="AT107" s="80"/>
      <c r="AU107" s="80"/>
      <c r="AV107" s="183">
        <v>2.06</v>
      </c>
      <c r="AW107" s="185">
        <f t="shared" si="8"/>
        <v>0.25242718446601942</v>
      </c>
      <c r="AX107" s="201">
        <f t="shared" si="6"/>
        <v>0.25242718446601942</v>
      </c>
      <c r="AY107" s="187">
        <v>1.03</v>
      </c>
      <c r="AZ107" s="189">
        <f t="shared" si="9"/>
        <v>0.26568187252583758</v>
      </c>
      <c r="BA107" s="202">
        <f t="shared" si="7"/>
        <v>0.26568187252583758</v>
      </c>
      <c r="BB107" s="202">
        <f t="shared" si="10"/>
        <v>1.3</v>
      </c>
      <c r="BC107" s="208"/>
      <c r="BD107" s="349"/>
      <c r="BE107" s="349"/>
      <c r="BF107" s="349"/>
      <c r="BG107" s="349"/>
      <c r="BH107" s="349"/>
      <c r="BI107" s="349"/>
      <c r="BJ107" s="349"/>
      <c r="BK107" s="349"/>
      <c r="BL107" s="349"/>
      <c r="BM107" s="349"/>
      <c r="BN107" s="349"/>
      <c r="BS107" s="8"/>
      <c r="BU107" s="8"/>
      <c r="BV107" s="8"/>
      <c r="BW107" s="8"/>
      <c r="BX107" s="8"/>
      <c r="BY107" s="8"/>
      <c r="BZ107" s="8"/>
      <c r="CA107" s="8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</row>
    <row r="108" spans="2:183" s="76" customFormat="1" ht="12" customHeight="1">
      <c r="B108" s="689" t="s">
        <v>199</v>
      </c>
      <c r="C108" s="690"/>
      <c r="D108" s="731" t="s">
        <v>211</v>
      </c>
      <c r="E108" s="731"/>
      <c r="F108" s="731"/>
      <c r="G108" s="731"/>
      <c r="H108" s="731"/>
      <c r="I108" s="731"/>
      <c r="J108" s="731"/>
      <c r="K108" s="731"/>
      <c r="L108" s="731"/>
      <c r="M108" s="731"/>
      <c r="N108" s="731"/>
      <c r="O108" s="731"/>
      <c r="P108" s="731"/>
      <c r="Q108" s="731"/>
      <c r="R108" s="731"/>
      <c r="S108" s="731"/>
      <c r="T108" s="731"/>
      <c r="U108" s="731"/>
      <c r="V108" s="731"/>
      <c r="W108" s="731"/>
      <c r="X108" s="222"/>
      <c r="Y108" s="222"/>
      <c r="Z108" s="222"/>
      <c r="AA108" s="222"/>
      <c r="AB108" s="222"/>
      <c r="AC108" s="222"/>
      <c r="AD108" s="222"/>
      <c r="AE108" s="222"/>
      <c r="AF108" s="75"/>
      <c r="AG108" s="75"/>
      <c r="AH108" s="222"/>
      <c r="AI108" s="222"/>
      <c r="AJ108" s="732">
        <f>IF(AND(OR(AQ103&gt;0,AQ103=0),OR(AQ103&lt;AQ$96,AQ103=AQ$96)),(AQ$92*(0.4+(0.6*AQ103/AQ$96))),IF(AND(AQ103&gt;AQ$96,OR(AQ103&lt;AQ$98,AQ103=AQ$98)),AQ$92,IF(AND(AQ103&gt;AQ$98,AQ103&lt;AQ$100),(AQ$94/AQ103),IF(OR(AQ103&gt;AQ$100,AQ103=AQ$100),(AQ$94*AQ$100/(AQ103*AQ103)),"Error"))))</f>
        <v>0.69077286856717779</v>
      </c>
      <c r="AK108" s="732"/>
      <c r="AL108" s="732"/>
      <c r="AM108" s="732"/>
      <c r="AN108" s="222"/>
      <c r="AO108" s="624"/>
      <c r="AP108" s="624"/>
      <c r="AQ108" s="179"/>
      <c r="AR108" s="180"/>
      <c r="AS108" s="180"/>
      <c r="AT108" s="80"/>
      <c r="AU108" s="80"/>
      <c r="AV108" s="183">
        <v>2.08</v>
      </c>
      <c r="AW108" s="185">
        <f t="shared" si="8"/>
        <v>0.25</v>
      </c>
      <c r="AX108" s="201">
        <f t="shared" si="6"/>
        <v>0.25</v>
      </c>
      <c r="AY108" s="187">
        <v>1.04</v>
      </c>
      <c r="AZ108" s="189">
        <f t="shared" si="9"/>
        <v>0.26568187252583758</v>
      </c>
      <c r="BA108" s="202">
        <f t="shared" si="7"/>
        <v>0.26568187252583758</v>
      </c>
      <c r="BB108" s="202">
        <f t="shared" si="10"/>
        <v>1.3</v>
      </c>
      <c r="BC108" s="208"/>
      <c r="BD108" s="349"/>
      <c r="BE108" s="349"/>
      <c r="BF108" s="349"/>
      <c r="BG108" s="349"/>
      <c r="BH108" s="349"/>
      <c r="BI108" s="349"/>
      <c r="BJ108" s="349"/>
      <c r="BK108" s="349"/>
      <c r="BL108" s="349"/>
      <c r="BM108" s="349"/>
      <c r="BN108" s="349"/>
      <c r="BS108" s="8"/>
      <c r="BU108" s="8"/>
      <c r="BV108" s="8"/>
      <c r="BW108" s="8"/>
      <c r="BX108" s="8"/>
      <c r="BY108" s="8"/>
      <c r="BZ108" s="8"/>
      <c r="CA108" s="8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</row>
    <row r="109" spans="2:183" s="76" customFormat="1" ht="12" customHeight="1">
      <c r="B109" s="690"/>
      <c r="C109" s="690"/>
      <c r="D109" s="731"/>
      <c r="E109" s="731"/>
      <c r="F109" s="731"/>
      <c r="G109" s="731"/>
      <c r="H109" s="731"/>
      <c r="I109" s="731"/>
      <c r="J109" s="731"/>
      <c r="K109" s="731"/>
      <c r="L109" s="731"/>
      <c r="M109" s="731"/>
      <c r="N109" s="731"/>
      <c r="O109" s="731"/>
      <c r="P109" s="731"/>
      <c r="Q109" s="731"/>
      <c r="R109" s="731"/>
      <c r="S109" s="731"/>
      <c r="T109" s="731"/>
      <c r="U109" s="731"/>
      <c r="V109" s="731"/>
      <c r="W109" s="731"/>
      <c r="X109" s="222"/>
      <c r="Y109" s="222"/>
      <c r="Z109" s="222"/>
      <c r="AA109" s="222"/>
      <c r="AB109" s="222"/>
      <c r="AC109" s="222"/>
      <c r="AD109" s="222"/>
      <c r="AE109" s="222"/>
      <c r="AF109" s="75"/>
      <c r="AG109" s="75"/>
      <c r="AH109" s="222"/>
      <c r="AI109" s="222"/>
      <c r="AJ109" s="732"/>
      <c r="AK109" s="732"/>
      <c r="AL109" s="732"/>
      <c r="AM109" s="732"/>
      <c r="AN109" s="222"/>
      <c r="AO109" s="624"/>
      <c r="AP109" s="624"/>
      <c r="AQ109" s="179"/>
      <c r="AR109" s="180"/>
      <c r="AS109" s="180"/>
      <c r="AT109" s="80"/>
      <c r="AU109" s="80"/>
      <c r="AV109" s="183">
        <v>2.1</v>
      </c>
      <c r="AW109" s="185">
        <f t="shared" si="8"/>
        <v>0.24761904761904763</v>
      </c>
      <c r="AX109" s="201">
        <f t="shared" si="6"/>
        <v>0.24761904761904763</v>
      </c>
      <c r="AY109" s="187">
        <v>1.05</v>
      </c>
      <c r="AZ109" s="189">
        <f t="shared" si="9"/>
        <v>0.26568187252583758</v>
      </c>
      <c r="BA109" s="202">
        <f t="shared" si="7"/>
        <v>0.26568187252583758</v>
      </c>
      <c r="BB109" s="202">
        <f t="shared" si="10"/>
        <v>1.3</v>
      </c>
      <c r="BC109" s="208"/>
      <c r="BD109" s="349"/>
      <c r="BE109" s="349"/>
      <c r="BF109" s="349"/>
      <c r="BG109" s="349"/>
      <c r="BH109" s="349"/>
      <c r="BI109" s="349"/>
      <c r="BJ109" s="349"/>
      <c r="BK109" s="349"/>
      <c r="BL109" s="349"/>
      <c r="BM109" s="349"/>
      <c r="BN109" s="349"/>
      <c r="BS109" s="8"/>
      <c r="BU109" s="8"/>
      <c r="BV109" s="8"/>
      <c r="BW109" s="8"/>
      <c r="BX109" s="8"/>
      <c r="BY109" s="8"/>
      <c r="BZ109" s="8"/>
      <c r="CA109" s="8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</row>
    <row r="110" spans="2:183" s="76" customFormat="1" ht="12" customHeight="1">
      <c r="B110" s="219"/>
      <c r="C110" s="219"/>
      <c r="D110" s="683" t="str">
        <f>IF(AND(AQ103&gt;AQ$96,OR(AQ103&lt;AQ$98,AQ103=AQ$98)),"ü","û")</f>
        <v>û</v>
      </c>
      <c r="E110" s="683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0"/>
      <c r="V110" s="220"/>
      <c r="W110" s="683" t="str">
        <f>IF(AND(OR(AQ103&gt;0,AQ103=0),OR(AQ103&lt;AQ$96,AQ103=AQ$96)),"ü","û")</f>
        <v>û</v>
      </c>
      <c r="X110" s="683"/>
      <c r="Y110" s="222"/>
      <c r="Z110" s="222"/>
      <c r="AA110" s="222"/>
      <c r="AB110" s="222"/>
      <c r="AC110" s="222"/>
      <c r="AD110" s="222"/>
      <c r="AE110" s="222"/>
      <c r="AF110" s="75"/>
      <c r="AG110" s="75"/>
      <c r="AH110" s="222"/>
      <c r="AI110" s="222"/>
      <c r="AJ110" s="236"/>
      <c r="AK110" s="236"/>
      <c r="AL110" s="236"/>
      <c r="AM110" s="236"/>
      <c r="AN110" s="222"/>
      <c r="AP110" s="6"/>
      <c r="AQ110" s="179"/>
      <c r="AR110" s="180"/>
      <c r="AS110" s="180"/>
      <c r="AT110" s="80"/>
      <c r="AU110" s="80"/>
      <c r="AV110" s="183">
        <v>2.12</v>
      </c>
      <c r="AW110" s="185">
        <f t="shared" si="8"/>
        <v>0.24528301886792453</v>
      </c>
      <c r="AX110" s="201">
        <f t="shared" si="6"/>
        <v>0.24528301886792453</v>
      </c>
      <c r="AY110" s="187">
        <v>1.06</v>
      </c>
      <c r="AZ110" s="189">
        <f t="shared" si="9"/>
        <v>0.26568187252583758</v>
      </c>
      <c r="BA110" s="202">
        <f t="shared" si="7"/>
        <v>0.26568187252583758</v>
      </c>
      <c r="BB110" s="202">
        <f t="shared" si="10"/>
        <v>1.3</v>
      </c>
      <c r="BC110" s="208"/>
      <c r="BD110" s="349"/>
      <c r="BE110" s="349"/>
      <c r="BF110" s="349"/>
      <c r="BG110" s="349"/>
      <c r="BH110" s="349"/>
      <c r="BI110" s="349"/>
      <c r="BJ110" s="349"/>
      <c r="BK110" s="349"/>
      <c r="BL110" s="349"/>
      <c r="BM110" s="349"/>
      <c r="BN110" s="349"/>
      <c r="BS110" s="8"/>
      <c r="BU110" s="8"/>
      <c r="BV110" s="8"/>
      <c r="BW110" s="8"/>
      <c r="BX110" s="8"/>
      <c r="BY110" s="8"/>
      <c r="BZ110" s="8"/>
      <c r="CA110" s="8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</row>
    <row r="111" spans="2:183" s="76" customFormat="1" ht="12" customHeight="1">
      <c r="B111" s="219"/>
      <c r="C111" s="219"/>
      <c r="D111" s="683"/>
      <c r="E111" s="683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0"/>
      <c r="V111" s="220"/>
      <c r="W111" s="683"/>
      <c r="X111" s="683"/>
      <c r="Y111" s="222"/>
      <c r="Z111" s="222"/>
      <c r="AA111" s="222"/>
      <c r="AB111" s="222"/>
      <c r="AC111" s="222"/>
      <c r="AD111" s="222"/>
      <c r="AE111" s="222"/>
      <c r="AF111" s="75"/>
      <c r="AG111" s="75"/>
      <c r="AH111" s="222"/>
      <c r="AI111" s="222"/>
      <c r="AJ111" s="236"/>
      <c r="AK111" s="236"/>
      <c r="AL111" s="236"/>
      <c r="AM111" s="236"/>
      <c r="AN111" s="222"/>
      <c r="AP111" s="6"/>
      <c r="AQ111" s="179"/>
      <c r="AR111" s="180"/>
      <c r="AS111" s="180"/>
      <c r="AT111" s="80"/>
      <c r="AU111" s="80"/>
      <c r="AV111" s="183">
        <v>2.14</v>
      </c>
      <c r="AW111" s="185">
        <f t="shared" si="8"/>
        <v>0.24299065420560748</v>
      </c>
      <c r="AX111" s="201">
        <f t="shared" si="6"/>
        <v>0.24299065420560748</v>
      </c>
      <c r="AY111" s="187">
        <v>1.07</v>
      </c>
      <c r="AZ111" s="189">
        <f t="shared" si="9"/>
        <v>0.26568187252583758</v>
      </c>
      <c r="BA111" s="202">
        <f t="shared" si="7"/>
        <v>0.26568187252583758</v>
      </c>
      <c r="BB111" s="202">
        <f t="shared" si="10"/>
        <v>1.3</v>
      </c>
      <c r="BC111" s="208"/>
      <c r="BD111" s="349"/>
      <c r="BE111" s="349"/>
      <c r="BF111" s="349"/>
      <c r="BG111" s="349"/>
      <c r="BH111" s="349"/>
      <c r="BI111" s="349"/>
      <c r="BJ111" s="349"/>
      <c r="BK111" s="349"/>
      <c r="BL111" s="349"/>
      <c r="BM111" s="349"/>
      <c r="BN111" s="349"/>
      <c r="BS111" s="8"/>
      <c r="BU111" s="8"/>
      <c r="BV111" s="8"/>
      <c r="BW111" s="8"/>
      <c r="BX111" s="8"/>
      <c r="BY111" s="8"/>
      <c r="BZ111" s="8"/>
      <c r="CA111" s="8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</row>
    <row r="112" spans="2:183" s="76" customFormat="1" ht="12" customHeight="1">
      <c r="B112" s="219"/>
      <c r="C112" s="219"/>
      <c r="D112" s="220"/>
      <c r="E112" s="220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0"/>
      <c r="V112" s="220"/>
      <c r="W112" s="220"/>
      <c r="X112" s="222"/>
      <c r="Y112" s="222"/>
      <c r="Z112" s="222"/>
      <c r="AA112" s="222"/>
      <c r="AB112" s="222"/>
      <c r="AC112" s="222"/>
      <c r="AD112" s="222"/>
      <c r="AE112" s="222"/>
      <c r="AF112" s="75"/>
      <c r="AG112" s="75"/>
      <c r="AH112" s="222"/>
      <c r="AI112" s="222"/>
      <c r="AJ112" s="236"/>
      <c r="AK112" s="236"/>
      <c r="AL112" s="236"/>
      <c r="AM112" s="236"/>
      <c r="AN112" s="222"/>
      <c r="AP112" s="6"/>
      <c r="AQ112" s="179"/>
      <c r="AR112" s="180"/>
      <c r="AS112" s="180"/>
      <c r="AT112" s="80"/>
      <c r="AU112" s="80"/>
      <c r="AV112" s="183">
        <v>2.16</v>
      </c>
      <c r="AW112" s="185">
        <f t="shared" si="8"/>
        <v>0.24074074074074073</v>
      </c>
      <c r="AX112" s="201">
        <f t="shared" si="6"/>
        <v>0.24074074074074073</v>
      </c>
      <c r="AY112" s="187">
        <v>1.08</v>
      </c>
      <c r="AZ112" s="189">
        <f t="shared" si="9"/>
        <v>0.26568187252583758</v>
      </c>
      <c r="BA112" s="202">
        <f t="shared" si="7"/>
        <v>0.26568187252583758</v>
      </c>
      <c r="BB112" s="202">
        <f t="shared" si="10"/>
        <v>1.3</v>
      </c>
      <c r="BC112" s="208"/>
      <c r="BD112" s="349"/>
      <c r="BE112" s="349"/>
      <c r="BF112" s="349"/>
      <c r="BG112" s="349"/>
      <c r="BH112" s="349"/>
      <c r="BI112" s="349"/>
      <c r="BJ112" s="349"/>
      <c r="BK112" s="349"/>
      <c r="BL112" s="349"/>
      <c r="BM112" s="349"/>
      <c r="BN112" s="349"/>
      <c r="BS112" s="8"/>
      <c r="BU112" s="8"/>
      <c r="BV112" s="8"/>
      <c r="BW112" s="8"/>
      <c r="BX112" s="8"/>
      <c r="BY112" s="8"/>
      <c r="BZ112" s="8"/>
      <c r="CA112" s="8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</row>
    <row r="113" spans="2:183" s="76" customFormat="1" ht="12" customHeight="1">
      <c r="B113" s="219"/>
      <c r="C113" s="219"/>
      <c r="D113" s="683" t="str">
        <f>IF(OR(AQ103&gt;AQ$100,AQ103=AQ$100),"ü","û")</f>
        <v>û</v>
      </c>
      <c r="E113" s="683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0"/>
      <c r="V113" s="220"/>
      <c r="W113" s="683" t="str">
        <f>IF(AND(AQ103&gt;AQ$98,AQ103&lt;AQ$100),"ü","û")</f>
        <v>ü</v>
      </c>
      <c r="X113" s="683"/>
      <c r="Y113" s="222"/>
      <c r="Z113" s="222"/>
      <c r="AA113" s="222"/>
      <c r="AB113" s="222"/>
      <c r="AC113" s="222"/>
      <c r="AD113" s="222"/>
      <c r="AE113" s="222"/>
      <c r="AF113" s="75"/>
      <c r="AG113" s="75"/>
      <c r="AH113" s="222"/>
      <c r="AI113" s="222"/>
      <c r="AJ113" s="236"/>
      <c r="AK113" s="236"/>
      <c r="AL113" s="236"/>
      <c r="AM113" s="236"/>
      <c r="AN113" s="222"/>
      <c r="AP113" s="6"/>
      <c r="AQ113" s="179"/>
      <c r="AR113" s="180"/>
      <c r="AS113" s="180"/>
      <c r="AT113" s="80"/>
      <c r="AU113" s="80"/>
      <c r="AV113" s="183">
        <v>2.1800000000000002</v>
      </c>
      <c r="AW113" s="185">
        <f t="shared" si="8"/>
        <v>0.2385321100917431</v>
      </c>
      <c r="AX113" s="201">
        <f t="shared" si="6"/>
        <v>0.2385321100917431</v>
      </c>
      <c r="AY113" s="187">
        <v>1.0900000000000001</v>
      </c>
      <c r="AZ113" s="189">
        <f t="shared" si="9"/>
        <v>0.26568187252583758</v>
      </c>
      <c r="BA113" s="202">
        <f t="shared" si="7"/>
        <v>0.26568187252583758</v>
      </c>
      <c r="BB113" s="202">
        <f t="shared" si="10"/>
        <v>1.3</v>
      </c>
      <c r="BC113" s="208"/>
      <c r="BD113" s="349"/>
      <c r="BE113" s="349"/>
      <c r="BF113" s="349"/>
      <c r="BG113" s="349"/>
      <c r="BH113" s="349"/>
      <c r="BI113" s="349"/>
      <c r="BJ113" s="349"/>
      <c r="BK113" s="349"/>
      <c r="BL113" s="349"/>
      <c r="BM113" s="349"/>
      <c r="BN113" s="349"/>
      <c r="BS113" s="8"/>
      <c r="BU113" s="8"/>
      <c r="BV113" s="8"/>
      <c r="BW113" s="8"/>
      <c r="BX113" s="8"/>
      <c r="BY113" s="8"/>
      <c r="BZ113" s="8"/>
      <c r="CA113" s="8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</row>
    <row r="114" spans="2:183" s="76" customFormat="1" ht="12" customHeight="1">
      <c r="B114" s="219"/>
      <c r="C114" s="219"/>
      <c r="D114" s="683"/>
      <c r="E114" s="683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0"/>
      <c r="V114" s="220"/>
      <c r="W114" s="683"/>
      <c r="X114" s="683"/>
      <c r="Y114" s="222"/>
      <c r="Z114" s="222"/>
      <c r="AA114" s="222"/>
      <c r="AB114" s="222"/>
      <c r="AC114" s="222"/>
      <c r="AD114" s="222"/>
      <c r="AE114" s="222"/>
      <c r="AF114" s="75"/>
      <c r="AG114" s="75"/>
      <c r="AH114" s="222"/>
      <c r="AI114" s="222"/>
      <c r="AJ114" s="236"/>
      <c r="AK114" s="236"/>
      <c r="AL114" s="236"/>
      <c r="AM114" s="236"/>
      <c r="AN114" s="222"/>
      <c r="AP114" s="6"/>
      <c r="AQ114" s="179"/>
      <c r="AR114" s="180"/>
      <c r="AS114" s="180"/>
      <c r="AT114" s="80"/>
      <c r="AU114" s="80"/>
      <c r="AV114" s="183">
        <v>2.2000000000000002</v>
      </c>
      <c r="AW114" s="185">
        <f t="shared" si="8"/>
        <v>0.23636363636363636</v>
      </c>
      <c r="AX114" s="201">
        <f t="shared" si="6"/>
        <v>0.23636363636363636</v>
      </c>
      <c r="AY114" s="187">
        <v>1.1000000000000001</v>
      </c>
      <c r="AZ114" s="189">
        <f t="shared" si="9"/>
        <v>0.26568187252583758</v>
      </c>
      <c r="BA114" s="202">
        <f t="shared" si="7"/>
        <v>0.26568187252583758</v>
      </c>
      <c r="BB114" s="202">
        <f t="shared" si="10"/>
        <v>1.3</v>
      </c>
      <c r="BC114" s="208"/>
      <c r="BD114" s="349"/>
      <c r="BE114" s="349"/>
      <c r="BF114" s="349"/>
      <c r="BG114" s="349"/>
      <c r="BH114" s="349"/>
      <c r="BI114" s="349"/>
      <c r="BJ114" s="349"/>
      <c r="BK114" s="349"/>
      <c r="BL114" s="349"/>
      <c r="BM114" s="349"/>
      <c r="BN114" s="349"/>
      <c r="BS114" s="8"/>
      <c r="BU114" s="8"/>
      <c r="BV114" s="8"/>
      <c r="BW114" s="8"/>
      <c r="BX114" s="8"/>
      <c r="BY114" s="8"/>
      <c r="BZ114" s="8"/>
      <c r="CA114" s="8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</row>
    <row r="115" spans="2:183" s="76" customFormat="1" ht="12" customHeight="1" thickBot="1">
      <c r="B115" s="689" t="s">
        <v>199</v>
      </c>
      <c r="C115" s="690"/>
      <c r="D115" s="720" t="str">
        <f>"براساس بند ۷-۲، گروه طراحی لرزه‌ای سازه «" &amp; Y28 &amp; "» و با شرایط موجود، طبق جدول ۶-۲ به شرح زیر است:"</f>
        <v>براساس بند ۷-۲، گروه طراحی لرزه‌ای سازه «گروه3- ساختمان های با اهمیت متوسط» و با شرایط موجود، طبق جدول ۶-۲ به شرح زیر است:</v>
      </c>
      <c r="E115" s="720"/>
      <c r="F115" s="720"/>
      <c r="G115" s="720"/>
      <c r="H115" s="720"/>
      <c r="I115" s="720"/>
      <c r="J115" s="720"/>
      <c r="K115" s="720"/>
      <c r="L115" s="720"/>
      <c r="M115" s="720"/>
      <c r="N115" s="720"/>
      <c r="O115" s="720"/>
      <c r="P115" s="720"/>
      <c r="Q115" s="720"/>
      <c r="R115" s="720"/>
      <c r="S115" s="720"/>
      <c r="T115" s="720"/>
      <c r="U115" s="720"/>
      <c r="V115" s="720"/>
      <c r="W115" s="720"/>
      <c r="X115" s="720"/>
      <c r="Y115" s="720"/>
      <c r="Z115" s="720"/>
      <c r="AA115" s="720"/>
      <c r="AB115" s="720"/>
      <c r="AC115" s="720"/>
      <c r="AD115" s="720"/>
      <c r="AE115" s="720"/>
      <c r="AF115" s="720"/>
      <c r="AG115" s="720"/>
      <c r="AH115" s="720"/>
      <c r="AI115" s="720"/>
      <c r="AJ115" s="720"/>
      <c r="AK115" s="720"/>
      <c r="AL115" s="720"/>
      <c r="AM115" s="720"/>
      <c r="AN115" s="720"/>
      <c r="AO115" s="720"/>
      <c r="AP115" s="720"/>
      <c r="AQ115" s="179"/>
      <c r="AR115" s="180"/>
      <c r="AS115" s="180"/>
      <c r="AT115" s="80"/>
      <c r="AU115" s="80"/>
      <c r="AV115" s="183">
        <v>2.2200000000000002</v>
      </c>
      <c r="AW115" s="185">
        <f t="shared" si="8"/>
        <v>0.23423423423423423</v>
      </c>
      <c r="AX115" s="201">
        <f t="shared" si="6"/>
        <v>0.23423423423423423</v>
      </c>
      <c r="AY115" s="187">
        <v>1.1100000000000001</v>
      </c>
      <c r="AZ115" s="189">
        <f t="shared" si="9"/>
        <v>0.26568187252583758</v>
      </c>
      <c r="BA115" s="202">
        <f t="shared" si="7"/>
        <v>0.26568187252583758</v>
      </c>
      <c r="BB115" s="202">
        <f t="shared" si="10"/>
        <v>1.3</v>
      </c>
      <c r="BC115" s="181"/>
      <c r="BD115" s="349"/>
      <c r="BE115" s="349"/>
      <c r="BF115" s="349"/>
      <c r="BG115" s="349"/>
      <c r="BH115" s="349"/>
      <c r="BI115" s="349"/>
      <c r="BJ115" s="349"/>
      <c r="BK115" s="349"/>
      <c r="BL115" s="349"/>
      <c r="BM115" s="349"/>
      <c r="BN115" s="349"/>
      <c r="BO115" s="642"/>
      <c r="BS115" s="8"/>
      <c r="BU115" s="8"/>
      <c r="BV115" s="8"/>
      <c r="BW115" s="8"/>
      <c r="BX115" s="8"/>
      <c r="BY115" s="8"/>
      <c r="BZ115" s="8"/>
      <c r="CA115" s="8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</row>
    <row r="116" spans="2:183" s="76" customFormat="1" ht="12" customHeight="1">
      <c r="B116" s="690"/>
      <c r="C116" s="690"/>
      <c r="D116" s="720"/>
      <c r="E116" s="720"/>
      <c r="F116" s="720"/>
      <c r="G116" s="720"/>
      <c r="H116" s="720"/>
      <c r="I116" s="720"/>
      <c r="J116" s="720"/>
      <c r="K116" s="720"/>
      <c r="L116" s="720"/>
      <c r="M116" s="720"/>
      <c r="N116" s="720"/>
      <c r="O116" s="720"/>
      <c r="P116" s="720"/>
      <c r="Q116" s="720"/>
      <c r="R116" s="720"/>
      <c r="S116" s="720"/>
      <c r="T116" s="720"/>
      <c r="U116" s="720"/>
      <c r="V116" s="720"/>
      <c r="W116" s="720"/>
      <c r="X116" s="720"/>
      <c r="Y116" s="720"/>
      <c r="Z116" s="720"/>
      <c r="AA116" s="720"/>
      <c r="AB116" s="720"/>
      <c r="AC116" s="720"/>
      <c r="AD116" s="720"/>
      <c r="AE116" s="720"/>
      <c r="AF116" s="720"/>
      <c r="AG116" s="720"/>
      <c r="AH116" s="720"/>
      <c r="AI116" s="720"/>
      <c r="AJ116" s="720"/>
      <c r="AK116" s="720"/>
      <c r="AL116" s="720"/>
      <c r="AM116" s="720"/>
      <c r="AN116" s="720"/>
      <c r="AO116" s="720"/>
      <c r="AP116" s="720"/>
      <c r="AQ116" s="179"/>
      <c r="AR116" s="180"/>
      <c r="AS116" s="180"/>
      <c r="AT116" s="80"/>
      <c r="AU116" s="80"/>
      <c r="AV116" s="183">
        <v>2.2400000000000002</v>
      </c>
      <c r="AW116" s="185">
        <f t="shared" si="8"/>
        <v>0.23214285714285712</v>
      </c>
      <c r="AX116" s="201">
        <f t="shared" si="6"/>
        <v>0.23214285714285712</v>
      </c>
      <c r="AY116" s="187">
        <v>1.1200000000000001</v>
      </c>
      <c r="AZ116" s="189">
        <f t="shared" si="9"/>
        <v>0.26568187252583758</v>
      </c>
      <c r="BA116" s="202">
        <f t="shared" si="7"/>
        <v>0.26568187252583758</v>
      </c>
      <c r="BB116" s="202">
        <f t="shared" si="10"/>
        <v>1.3</v>
      </c>
      <c r="BC116" s="206"/>
      <c r="BD116" s="651" t="s">
        <v>217</v>
      </c>
      <c r="BE116" s="652"/>
      <c r="BF116" s="652"/>
      <c r="BG116" s="652"/>
      <c r="BH116" s="652"/>
      <c r="BI116" s="652"/>
      <c r="BJ116" s="652"/>
      <c r="BK116" s="652"/>
      <c r="BL116" s="652"/>
      <c r="BM116" s="652"/>
      <c r="BN116" s="653"/>
      <c r="BO116" s="642"/>
      <c r="BS116" s="8"/>
      <c r="BU116" s="8"/>
      <c r="BV116" s="8"/>
      <c r="BW116" s="8"/>
      <c r="BX116" s="8"/>
      <c r="BY116" s="8"/>
      <c r="BZ116" s="8"/>
      <c r="CA116" s="8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</row>
    <row r="117" spans="2:183" s="76" customFormat="1" ht="12" customHeight="1">
      <c r="B117" s="223"/>
      <c r="C117" s="223"/>
      <c r="D117" s="237"/>
      <c r="E117" s="702" t="str">
        <f>IF(N117=CC7,"گروه طراحی لرزه‌ای ۱",IF(N117=CC8,"گروه طراحی لرزه‌ای ۲",IF(N117=CC9,"گروه طراحی لرزه‌ای ۳","من نمیفهمم")))</f>
        <v>گروه طراحی لرزه‌ای ۲</v>
      </c>
      <c r="F117" s="702"/>
      <c r="G117" s="702"/>
      <c r="H117" s="702"/>
      <c r="I117" s="702"/>
      <c r="J117" s="702"/>
      <c r="K117" s="702"/>
      <c r="L117" s="702"/>
      <c r="M117" s="702"/>
      <c r="N117" s="727" t="str">
        <f>IF(Y28=BR8,CC9,IF(AND(Y28=BR9,V117&gt;0.6),CC9,IF(AND(Y28=BR9,OR(V117&lt;0.6,V117=0.6)),CC8,IF(AND(OR(Y28=BR10,Y28=BR11),OR(AJ117&lt;0.4,AJ117=0.4),OR(AC117&lt;0.75,AC117=0.75)),CC7,IF(AND(OR(Y28=BR10,Y28=BR11),OR(AJ117&gt;0.4,AC117&gt;0.75),OR(V117&lt;0.6,V117=0.6)),CC8,IF(AND(OR(Y28=BR10,Y28=BR11),V117&gt;0.6),CC9,"I cann't understand"))))))</f>
        <v>SDC-2</v>
      </c>
      <c r="O117" s="727"/>
      <c r="P117" s="727"/>
      <c r="Q117" s="727"/>
      <c r="R117" s="727"/>
      <c r="S117" s="727"/>
      <c r="T117" s="721" t="s">
        <v>219</v>
      </c>
      <c r="U117" s="722"/>
      <c r="V117" s="707">
        <f>AM106*AK26</f>
        <v>0.6</v>
      </c>
      <c r="W117" s="707"/>
      <c r="X117" s="707"/>
      <c r="Y117" s="19"/>
      <c r="Z117" s="19"/>
      <c r="AA117" s="19"/>
      <c r="AC117" s="707">
        <f>AM106*AQ92</f>
        <v>0.9</v>
      </c>
      <c r="AD117" s="707"/>
      <c r="AE117" s="707"/>
      <c r="AF117" s="19"/>
      <c r="AG117" s="19"/>
      <c r="AH117" s="19"/>
      <c r="AI117" s="19"/>
      <c r="AJ117" s="707">
        <f>AM106*AQ94</f>
        <v>0.52</v>
      </c>
      <c r="AK117" s="707"/>
      <c r="AL117" s="707"/>
      <c r="AM117" s="19"/>
      <c r="AN117" s="19"/>
      <c r="AO117" s="19"/>
      <c r="AP117" s="367"/>
      <c r="AQ117" s="179"/>
      <c r="AR117" s="180"/>
      <c r="AS117" s="180"/>
      <c r="AT117" s="80"/>
      <c r="AU117" s="80"/>
      <c r="AV117" s="183">
        <v>2.2599999999999998</v>
      </c>
      <c r="AW117" s="185">
        <f t="shared" si="8"/>
        <v>0.23008849557522126</v>
      </c>
      <c r="AX117" s="201">
        <f t="shared" si="6"/>
        <v>0.23008849557522126</v>
      </c>
      <c r="AY117" s="187">
        <v>1.1299999999999999</v>
      </c>
      <c r="AZ117" s="189">
        <f t="shared" si="9"/>
        <v>0.26568187252583758</v>
      </c>
      <c r="BA117" s="202">
        <f t="shared" si="7"/>
        <v>0.26568187252583758</v>
      </c>
      <c r="BB117" s="202">
        <f t="shared" si="10"/>
        <v>1.3</v>
      </c>
      <c r="BC117" s="206"/>
      <c r="BD117" s="654"/>
      <c r="BE117" s="655"/>
      <c r="BF117" s="655"/>
      <c r="BG117" s="655"/>
      <c r="BH117" s="655"/>
      <c r="BI117" s="655"/>
      <c r="BJ117" s="655"/>
      <c r="BK117" s="655"/>
      <c r="BL117" s="655"/>
      <c r="BM117" s="655"/>
      <c r="BN117" s="656"/>
      <c r="BO117" s="642"/>
      <c r="BS117" s="8"/>
      <c r="BU117" s="8"/>
      <c r="BV117" s="8"/>
      <c r="BW117" s="8"/>
      <c r="BX117" s="8"/>
      <c r="BY117" s="8"/>
      <c r="BZ117" s="8"/>
      <c r="CA117" s="8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</row>
    <row r="118" spans="2:183" s="76" customFormat="1" ht="12" customHeight="1">
      <c r="B118" s="223"/>
      <c r="C118" s="223"/>
      <c r="D118" s="237"/>
      <c r="E118" s="702"/>
      <c r="F118" s="702"/>
      <c r="G118" s="702"/>
      <c r="H118" s="702"/>
      <c r="I118" s="702"/>
      <c r="J118" s="702"/>
      <c r="K118" s="702"/>
      <c r="L118" s="702"/>
      <c r="M118" s="702"/>
      <c r="N118" s="727"/>
      <c r="O118" s="727"/>
      <c r="P118" s="727"/>
      <c r="Q118" s="727"/>
      <c r="R118" s="727"/>
      <c r="S118" s="727"/>
      <c r="T118" s="722"/>
      <c r="U118" s="722"/>
      <c r="V118" s="707"/>
      <c r="W118" s="707"/>
      <c r="X118" s="707"/>
      <c r="Y118" s="19"/>
      <c r="Z118" s="19"/>
      <c r="AA118" s="19"/>
      <c r="AB118" s="21"/>
      <c r="AC118" s="707"/>
      <c r="AD118" s="707"/>
      <c r="AE118" s="707"/>
      <c r="AF118" s="19"/>
      <c r="AG118" s="19"/>
      <c r="AH118" s="19"/>
      <c r="AI118" s="19"/>
      <c r="AJ118" s="707"/>
      <c r="AK118" s="707"/>
      <c r="AL118" s="707"/>
      <c r="AM118" s="19"/>
      <c r="AN118" s="19"/>
      <c r="AO118" s="19"/>
      <c r="AP118" s="367"/>
      <c r="AQ118" s="179"/>
      <c r="AR118" s="180"/>
      <c r="AS118" s="180"/>
      <c r="AT118" s="80"/>
      <c r="AU118" s="80"/>
      <c r="AV118" s="183">
        <v>2.2799999999999998</v>
      </c>
      <c r="AW118" s="185">
        <f t="shared" si="8"/>
        <v>0.22807017543859651</v>
      </c>
      <c r="AX118" s="201">
        <f t="shared" si="6"/>
        <v>0.22807017543859651</v>
      </c>
      <c r="AY118" s="187">
        <v>1.1399999999999999</v>
      </c>
      <c r="AZ118" s="189">
        <f t="shared" si="9"/>
        <v>0.26568187252583758</v>
      </c>
      <c r="BA118" s="202">
        <f t="shared" si="7"/>
        <v>0.26568187252583758</v>
      </c>
      <c r="BB118" s="202">
        <f t="shared" si="10"/>
        <v>1.3</v>
      </c>
      <c r="BC118" s="181"/>
      <c r="BD118" s="661" t="s">
        <v>315</v>
      </c>
      <c r="BE118" s="662"/>
      <c r="BF118" s="662"/>
      <c r="BG118" s="662"/>
      <c r="BH118" s="662"/>
      <c r="BI118" s="662"/>
      <c r="BJ118" s="662"/>
      <c r="BK118" s="662"/>
      <c r="BL118" s="662"/>
      <c r="BM118" s="657" t="s">
        <v>6</v>
      </c>
      <c r="BN118" s="658"/>
      <c r="BO118" s="642"/>
      <c r="BS118" s="8"/>
      <c r="BU118" s="8"/>
      <c r="BV118" s="8"/>
      <c r="BW118" s="8"/>
      <c r="BX118" s="8"/>
      <c r="BY118" s="8"/>
      <c r="BZ118" s="8"/>
      <c r="CA118" s="8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</row>
    <row r="119" spans="2:183" s="76" customFormat="1" ht="12" customHeight="1">
      <c r="B119" s="689" t="s">
        <v>199</v>
      </c>
      <c r="C119" s="690"/>
      <c r="D119" s="824" t="str">
        <f>"با توجه به سیستم سازه ای «" &amp;Y38 &amp; "» و «"&amp;E117&amp;"» پارامترهای لرزه‌ای در برابر نیروی زلزله و حداکثر ارتفاع مجاز سازه براساس جدول ۱-۳  به شرح زیر است:"</f>
        <v>با توجه به سیستم سازه ای «سیستم قاب خمشی | قاب خمشی بتن آرمه متوسط» و «گروه طراحی لرزه‌ای ۲» پارامترهای لرزه‌ای در برابر نیروی زلزله و حداکثر ارتفاع مجاز سازه براساس جدول ۱-۳  به شرح زیر است:</v>
      </c>
      <c r="E119" s="824"/>
      <c r="F119" s="824"/>
      <c r="G119" s="824"/>
      <c r="H119" s="824"/>
      <c r="I119" s="824"/>
      <c r="J119" s="824"/>
      <c r="K119" s="824"/>
      <c r="L119" s="824"/>
      <c r="M119" s="824"/>
      <c r="N119" s="824"/>
      <c r="O119" s="824"/>
      <c r="P119" s="824"/>
      <c r="Q119" s="824"/>
      <c r="R119" s="824"/>
      <c r="S119" s="824"/>
      <c r="T119" s="824"/>
      <c r="U119" s="824"/>
      <c r="V119" s="824"/>
      <c r="W119" s="824"/>
      <c r="X119" s="824"/>
      <c r="Y119" s="824"/>
      <c r="Z119" s="824"/>
      <c r="AA119" s="824"/>
      <c r="AB119" s="824"/>
      <c r="AC119" s="824"/>
      <c r="AD119" s="824"/>
      <c r="AE119" s="824"/>
      <c r="AF119" s="824"/>
      <c r="AG119" s="824"/>
      <c r="AH119" s="824"/>
      <c r="AI119" s="824"/>
      <c r="AJ119" s="824"/>
      <c r="AK119" s="824"/>
      <c r="AL119" s="824"/>
      <c r="AM119" s="824"/>
      <c r="AN119" s="824"/>
      <c r="AO119" s="824"/>
      <c r="AP119" s="824"/>
      <c r="AQ119" s="179"/>
      <c r="AR119" s="180"/>
      <c r="AS119" s="180"/>
      <c r="AT119" s="80"/>
      <c r="AU119" s="80"/>
      <c r="AV119" s="183">
        <v>2.2999999999999998</v>
      </c>
      <c r="AW119" s="185">
        <f t="shared" si="8"/>
        <v>0.22608695652173916</v>
      </c>
      <c r="AX119" s="201">
        <f t="shared" si="6"/>
        <v>0.22608695652173916</v>
      </c>
      <c r="AY119" s="187">
        <v>1.1499999999999999</v>
      </c>
      <c r="AZ119" s="189">
        <f t="shared" si="9"/>
        <v>0.26568187252583758</v>
      </c>
      <c r="BA119" s="202">
        <f t="shared" si="7"/>
        <v>0.26568187252583758</v>
      </c>
      <c r="BB119" s="202">
        <f t="shared" si="10"/>
        <v>1.3</v>
      </c>
      <c r="BC119" s="181"/>
      <c r="BD119" s="661"/>
      <c r="BE119" s="662"/>
      <c r="BF119" s="662"/>
      <c r="BG119" s="662"/>
      <c r="BH119" s="662"/>
      <c r="BI119" s="662"/>
      <c r="BJ119" s="662"/>
      <c r="BK119" s="662"/>
      <c r="BL119" s="662"/>
      <c r="BM119" s="659"/>
      <c r="BN119" s="660"/>
      <c r="BO119" s="642"/>
      <c r="BS119" s="8"/>
      <c r="BU119" s="8"/>
      <c r="BV119" s="8"/>
      <c r="BW119" s="8"/>
      <c r="BX119" s="8"/>
      <c r="BY119" s="8"/>
      <c r="BZ119" s="8"/>
      <c r="CA119" s="8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</row>
    <row r="120" spans="2:183" s="76" customFormat="1" ht="12" customHeight="1">
      <c r="B120" s="690"/>
      <c r="C120" s="690"/>
      <c r="D120" s="824"/>
      <c r="E120" s="824"/>
      <c r="F120" s="824"/>
      <c r="G120" s="824"/>
      <c r="H120" s="824"/>
      <c r="I120" s="824"/>
      <c r="J120" s="824"/>
      <c r="K120" s="824"/>
      <c r="L120" s="824"/>
      <c r="M120" s="824"/>
      <c r="N120" s="824"/>
      <c r="O120" s="824"/>
      <c r="P120" s="824"/>
      <c r="Q120" s="824"/>
      <c r="R120" s="824"/>
      <c r="S120" s="824"/>
      <c r="T120" s="824"/>
      <c r="U120" s="824"/>
      <c r="V120" s="824"/>
      <c r="W120" s="824"/>
      <c r="X120" s="824"/>
      <c r="Y120" s="824"/>
      <c r="Z120" s="824"/>
      <c r="AA120" s="824"/>
      <c r="AB120" s="824"/>
      <c r="AC120" s="824"/>
      <c r="AD120" s="824"/>
      <c r="AE120" s="824"/>
      <c r="AF120" s="824"/>
      <c r="AG120" s="824"/>
      <c r="AH120" s="824"/>
      <c r="AI120" s="824"/>
      <c r="AJ120" s="824"/>
      <c r="AK120" s="824"/>
      <c r="AL120" s="824"/>
      <c r="AM120" s="824"/>
      <c r="AN120" s="824"/>
      <c r="AO120" s="824"/>
      <c r="AP120" s="824"/>
      <c r="AQ120" s="179"/>
      <c r="AR120" s="180"/>
      <c r="AS120" s="180"/>
      <c r="AT120" s="80"/>
      <c r="AU120" s="80"/>
      <c r="AV120" s="183">
        <v>2.3199999999999998</v>
      </c>
      <c r="AW120" s="185">
        <f t="shared" si="8"/>
        <v>0.22413793103448279</v>
      </c>
      <c r="AX120" s="201">
        <f t="shared" si="6"/>
        <v>0.22413793103448279</v>
      </c>
      <c r="AY120" s="187">
        <v>1.1599999999999999</v>
      </c>
      <c r="AZ120" s="189">
        <f t="shared" si="9"/>
        <v>0.26568187252583758</v>
      </c>
      <c r="BA120" s="202">
        <f t="shared" si="7"/>
        <v>0.26568187252583758</v>
      </c>
      <c r="BB120" s="202">
        <f t="shared" si="10"/>
        <v>1.3</v>
      </c>
      <c r="BC120" s="181"/>
      <c r="BD120" s="663" t="s">
        <v>316</v>
      </c>
      <c r="BE120" s="667" t="s">
        <v>287</v>
      </c>
      <c r="BF120" s="669" t="s">
        <v>317</v>
      </c>
      <c r="BG120" s="667" t="s">
        <v>288</v>
      </c>
      <c r="BH120" s="669" t="s">
        <v>318</v>
      </c>
      <c r="BI120" s="667" t="s">
        <v>289</v>
      </c>
      <c r="BJ120" s="669" t="s">
        <v>319</v>
      </c>
      <c r="BK120" s="667" t="s">
        <v>290</v>
      </c>
      <c r="BL120" s="741" t="s">
        <v>320</v>
      </c>
      <c r="BM120" s="659"/>
      <c r="BN120" s="660"/>
      <c r="BO120" s="642"/>
      <c r="BS120" s="8"/>
      <c r="BU120" s="8"/>
      <c r="BV120" s="8"/>
      <c r="BW120" s="8"/>
      <c r="BX120" s="8"/>
      <c r="BY120" s="8"/>
      <c r="BZ120" s="8"/>
      <c r="CA120" s="8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</row>
    <row r="121" spans="2:183" s="76" customFormat="1" ht="12" customHeight="1">
      <c r="B121" s="223"/>
      <c r="C121" s="223"/>
      <c r="D121" s="824"/>
      <c r="E121" s="824"/>
      <c r="F121" s="824"/>
      <c r="G121" s="824"/>
      <c r="H121" s="824"/>
      <c r="I121" s="824"/>
      <c r="J121" s="824"/>
      <c r="K121" s="824"/>
      <c r="L121" s="824"/>
      <c r="M121" s="824"/>
      <c r="N121" s="824"/>
      <c r="O121" s="824"/>
      <c r="P121" s="824"/>
      <c r="Q121" s="824"/>
      <c r="R121" s="824"/>
      <c r="S121" s="824"/>
      <c r="T121" s="824"/>
      <c r="U121" s="824"/>
      <c r="V121" s="824"/>
      <c r="W121" s="824"/>
      <c r="X121" s="824"/>
      <c r="Y121" s="824"/>
      <c r="Z121" s="824"/>
      <c r="AA121" s="824"/>
      <c r="AB121" s="824"/>
      <c r="AC121" s="824"/>
      <c r="AD121" s="824"/>
      <c r="AE121" s="824"/>
      <c r="AF121" s="824"/>
      <c r="AG121" s="824"/>
      <c r="AH121" s="824"/>
      <c r="AI121" s="824"/>
      <c r="AJ121" s="824"/>
      <c r="AK121" s="824"/>
      <c r="AL121" s="824"/>
      <c r="AM121" s="824"/>
      <c r="AN121" s="824"/>
      <c r="AO121" s="824"/>
      <c r="AP121" s="824"/>
      <c r="AQ121" s="179"/>
      <c r="AR121" s="180"/>
      <c r="AS121" s="180"/>
      <c r="AT121" s="80"/>
      <c r="AU121" s="80"/>
      <c r="AV121" s="183">
        <v>2.34</v>
      </c>
      <c r="AW121" s="185">
        <f t="shared" si="8"/>
        <v>0.22222222222222224</v>
      </c>
      <c r="AX121" s="201">
        <f t="shared" si="6"/>
        <v>0.22222222222222224</v>
      </c>
      <c r="AY121" s="187">
        <v>1.17</v>
      </c>
      <c r="AZ121" s="189">
        <f t="shared" si="9"/>
        <v>0.26568187252583758</v>
      </c>
      <c r="BA121" s="202">
        <f t="shared" si="7"/>
        <v>0.26568187252583758</v>
      </c>
      <c r="BB121" s="202">
        <f t="shared" si="10"/>
        <v>1.3</v>
      </c>
      <c r="BC121" s="181"/>
      <c r="BD121" s="664"/>
      <c r="BE121" s="668"/>
      <c r="BF121" s="670"/>
      <c r="BG121" s="668"/>
      <c r="BH121" s="670"/>
      <c r="BI121" s="668"/>
      <c r="BJ121" s="670"/>
      <c r="BK121" s="668"/>
      <c r="BL121" s="742"/>
      <c r="BM121" s="659"/>
      <c r="BN121" s="660"/>
      <c r="BO121" s="642"/>
      <c r="BS121" s="8"/>
      <c r="BU121" s="8"/>
      <c r="BV121" s="8"/>
      <c r="BW121" s="8"/>
      <c r="BX121" s="8"/>
      <c r="BY121" s="8"/>
      <c r="BZ121" s="8"/>
      <c r="CA121" s="8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</row>
    <row r="122" spans="2:183" s="76" customFormat="1" ht="12" customHeight="1">
      <c r="B122" s="223"/>
      <c r="C122" s="223"/>
      <c r="D122" s="691"/>
      <c r="E122" s="691"/>
      <c r="F122" s="679">
        <f>AQ46</f>
        <v>15</v>
      </c>
      <c r="G122" s="679"/>
      <c r="H122" s="679"/>
      <c r="I122" s="681" t="s">
        <v>223</v>
      </c>
      <c r="J122" s="681"/>
      <c r="K122" s="681"/>
      <c r="L122" s="21"/>
      <c r="M122" s="21"/>
      <c r="N122" s="21"/>
      <c r="O122" s="691"/>
      <c r="P122" s="691"/>
      <c r="Q122" s="679">
        <f>AQ44</f>
        <v>4.5</v>
      </c>
      <c r="R122" s="679"/>
      <c r="S122" s="681" t="s">
        <v>222</v>
      </c>
      <c r="T122" s="681"/>
      <c r="U122" s="681"/>
      <c r="V122" s="21"/>
      <c r="W122" s="21"/>
      <c r="X122" s="21"/>
      <c r="Y122" s="691"/>
      <c r="Z122" s="691"/>
      <c r="AA122" s="679">
        <f>AQ42</f>
        <v>3</v>
      </c>
      <c r="AB122" s="679"/>
      <c r="AC122" s="681" t="s">
        <v>221</v>
      </c>
      <c r="AD122" s="681"/>
      <c r="AE122" s="681"/>
      <c r="AF122" s="691"/>
      <c r="AG122" s="691"/>
      <c r="AH122" s="691"/>
      <c r="AI122" s="691"/>
      <c r="AJ122" s="691"/>
      <c r="AK122" s="21"/>
      <c r="AL122" s="679">
        <f>AQ40</f>
        <v>4.5</v>
      </c>
      <c r="AM122" s="679"/>
      <c r="AN122" s="681" t="s">
        <v>220</v>
      </c>
      <c r="AO122" s="681"/>
      <c r="AP122" s="681"/>
      <c r="AQ122" s="179"/>
      <c r="AR122" s="180"/>
      <c r="AS122" s="180"/>
      <c r="AT122" s="80"/>
      <c r="AU122" s="80"/>
      <c r="AV122" s="183">
        <v>2.36</v>
      </c>
      <c r="AW122" s="185">
        <f t="shared" si="8"/>
        <v>0.22033898305084748</v>
      </c>
      <c r="AX122" s="201">
        <f t="shared" si="6"/>
        <v>0.22033898305084748</v>
      </c>
      <c r="AY122" s="187">
        <v>1.18</v>
      </c>
      <c r="AZ122" s="189">
        <f t="shared" si="9"/>
        <v>0.26568187252583758</v>
      </c>
      <c r="BA122" s="202">
        <f t="shared" si="7"/>
        <v>0.26568187252583758</v>
      </c>
      <c r="BB122" s="202">
        <f t="shared" si="10"/>
        <v>1.3</v>
      </c>
      <c r="BC122" s="181"/>
      <c r="BD122" s="403">
        <v>0.2</v>
      </c>
      <c r="BE122" s="402"/>
      <c r="BF122" s="404">
        <v>0.3</v>
      </c>
      <c r="BG122" s="402"/>
      <c r="BH122" s="404">
        <v>0.6</v>
      </c>
      <c r="BI122" s="402"/>
      <c r="BJ122" s="404">
        <v>1</v>
      </c>
      <c r="BK122" s="402"/>
      <c r="BL122" s="405">
        <v>2</v>
      </c>
      <c r="BM122" s="659"/>
      <c r="BN122" s="660"/>
      <c r="BO122" s="642"/>
      <c r="BS122" s="8"/>
      <c r="BU122" s="8"/>
      <c r="BV122" s="8"/>
      <c r="BW122" s="8"/>
      <c r="BX122" s="8"/>
      <c r="BY122" s="8"/>
      <c r="BZ122" s="8"/>
      <c r="CA122" s="8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</row>
    <row r="123" spans="2:183" s="76" customFormat="1" ht="12" customHeight="1">
      <c r="B123" s="223"/>
      <c r="C123" s="223"/>
      <c r="D123" s="691"/>
      <c r="E123" s="691"/>
      <c r="F123" s="679"/>
      <c r="G123" s="679"/>
      <c r="H123" s="679"/>
      <c r="I123" s="681"/>
      <c r="J123" s="681"/>
      <c r="K123" s="681"/>
      <c r="L123" s="21"/>
      <c r="M123" s="21"/>
      <c r="N123" s="21"/>
      <c r="O123" s="691"/>
      <c r="P123" s="691"/>
      <c r="Q123" s="679"/>
      <c r="R123" s="679"/>
      <c r="S123" s="681"/>
      <c r="T123" s="681"/>
      <c r="U123" s="681"/>
      <c r="V123" s="21"/>
      <c r="W123" s="21"/>
      <c r="X123" s="21"/>
      <c r="Y123" s="691"/>
      <c r="Z123" s="691"/>
      <c r="AA123" s="679"/>
      <c r="AB123" s="679"/>
      <c r="AC123" s="681"/>
      <c r="AD123" s="681"/>
      <c r="AE123" s="681"/>
      <c r="AF123" s="691"/>
      <c r="AG123" s="691"/>
      <c r="AH123" s="691"/>
      <c r="AI123" s="691"/>
      <c r="AJ123" s="691"/>
      <c r="AK123" s="21"/>
      <c r="AL123" s="679"/>
      <c r="AM123" s="679"/>
      <c r="AN123" s="681"/>
      <c r="AO123" s="681"/>
      <c r="AP123" s="681"/>
      <c r="AQ123" s="179"/>
      <c r="AR123" s="180"/>
      <c r="AS123" s="180"/>
      <c r="AT123" s="80"/>
      <c r="AU123" s="80"/>
      <c r="AV123" s="183">
        <v>2.38</v>
      </c>
      <c r="AW123" s="185">
        <f t="shared" si="8"/>
        <v>0.21848739495798322</v>
      </c>
      <c r="AX123" s="201">
        <f t="shared" si="6"/>
        <v>0.21848739495798322</v>
      </c>
      <c r="AY123" s="187">
        <v>1.19</v>
      </c>
      <c r="AZ123" s="189">
        <f t="shared" si="9"/>
        <v>0.26568187252583758</v>
      </c>
      <c r="BA123" s="202">
        <f t="shared" si="7"/>
        <v>0.26568187252583758</v>
      </c>
      <c r="BB123" s="202">
        <f t="shared" si="10"/>
        <v>1.3</v>
      </c>
      <c r="BC123" s="181"/>
      <c r="BD123" s="400">
        <v>0.7</v>
      </c>
      <c r="BE123" s="393">
        <f>((AQ$88-BD$122)*(BF123-BD123)/(BF$122-BD$122))+BD123</f>
        <v>1.8500000000000014</v>
      </c>
      <c r="BF123" s="397">
        <v>0.8</v>
      </c>
      <c r="BG123" s="395">
        <f>((AQ$88-BF$122)*(BH123-BF123)/(BH$122-BF$122))+BF123</f>
        <v>1.3249999999999997</v>
      </c>
      <c r="BH123" s="397">
        <v>0.95</v>
      </c>
      <c r="BI123" s="395">
        <f>((AQ$88-BH$122)*(BJ123-BH123)/(BJ$122-BH$122))+BH123</f>
        <v>1.04375</v>
      </c>
      <c r="BJ123" s="397">
        <v>1</v>
      </c>
      <c r="BK123" s="395">
        <f>((AQ$88-BJ$122)*(BL123-BJ123)/(BL$122-BJ$122))+BJ123</f>
        <v>1.0350000000000001</v>
      </c>
      <c r="BL123" s="377">
        <v>1.1000000000000001</v>
      </c>
      <c r="BM123" s="397" t="s">
        <v>113</v>
      </c>
      <c r="BN123" s="410">
        <v>1</v>
      </c>
      <c r="BO123" s="642"/>
      <c r="BS123" s="8"/>
      <c r="BU123" s="8"/>
      <c r="BV123" s="8"/>
      <c r="BW123" s="8"/>
      <c r="BX123" s="8"/>
      <c r="BY123" s="8"/>
      <c r="BZ123" s="8"/>
      <c r="CA123" s="8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</row>
    <row r="124" spans="2:183" s="76" customFormat="1" ht="12" customHeight="1">
      <c r="B124" s="689" t="s">
        <v>199</v>
      </c>
      <c r="C124" s="690"/>
      <c r="D124" s="680" t="str">
        <f>"ضریب نامعینی سازه (ρ )، با توجه به انتخاب " &amp;IF(Y32=CJ6,"نیاز به اعمال آن و « "&amp;E117&amp; " » ","عدم نیاز به اعمال آن، ")&amp;"براساس بند ۵-۳ برابر است با:"</f>
        <v>ضریب نامعینی سازه (ρ )، با توجه به انتخاب عدم نیاز به اعمال آن، براساس بند ۵-۳ برابر است با:</v>
      </c>
      <c r="E124" s="680"/>
      <c r="F124" s="680"/>
      <c r="G124" s="680"/>
      <c r="H124" s="680"/>
      <c r="I124" s="680"/>
      <c r="J124" s="680"/>
      <c r="K124" s="680"/>
      <c r="L124" s="680"/>
      <c r="M124" s="680"/>
      <c r="N124" s="680"/>
      <c r="O124" s="680"/>
      <c r="P124" s="680"/>
      <c r="Q124" s="680"/>
      <c r="R124" s="680"/>
      <c r="S124" s="680"/>
      <c r="T124" s="680"/>
      <c r="U124" s="680"/>
      <c r="V124" s="680"/>
      <c r="W124" s="680"/>
      <c r="X124" s="680"/>
      <c r="Y124" s="680"/>
      <c r="Z124" s="680"/>
      <c r="AA124" s="680"/>
      <c r="AB124" s="680"/>
      <c r="AC124" s="680"/>
      <c r="AD124" s="680"/>
      <c r="AE124" s="680"/>
      <c r="AF124" s="680"/>
      <c r="AG124" s="680"/>
      <c r="AH124" s="680"/>
      <c r="AI124" s="680"/>
      <c r="AJ124" s="680"/>
      <c r="AK124" s="680"/>
      <c r="AL124" s="680"/>
      <c r="AM124" s="679">
        <f>AQ32</f>
        <v>1</v>
      </c>
      <c r="AN124" s="679"/>
      <c r="AO124" s="681" t="s">
        <v>227</v>
      </c>
      <c r="AP124" s="681"/>
      <c r="AQ124" s="179"/>
      <c r="AR124" s="180"/>
      <c r="AS124" s="180"/>
      <c r="AT124" s="80"/>
      <c r="AU124" s="80"/>
      <c r="AV124" s="183">
        <v>2.4</v>
      </c>
      <c r="AW124" s="185">
        <f t="shared" si="8"/>
        <v>0.21666666666666667</v>
      </c>
      <c r="AX124" s="201">
        <f t="shared" si="6"/>
        <v>0.21666666666666667</v>
      </c>
      <c r="AY124" s="187">
        <v>1.2</v>
      </c>
      <c r="AZ124" s="189">
        <f t="shared" si="9"/>
        <v>0.26568187252583758</v>
      </c>
      <c r="BA124" s="202">
        <f t="shared" si="7"/>
        <v>0.26568187252583758</v>
      </c>
      <c r="BB124" s="202">
        <f t="shared" si="10"/>
        <v>1.3</v>
      </c>
      <c r="BC124" s="181"/>
      <c r="BD124" s="400">
        <v>0.7</v>
      </c>
      <c r="BE124" s="393">
        <f>((AQ$88-BD$122)*(BF124-BD124)/(BF$122-BD$122))+BD124</f>
        <v>1.8500000000000014</v>
      </c>
      <c r="BF124" s="397">
        <v>0.8</v>
      </c>
      <c r="BG124" s="395">
        <f>((AQ$88-BF$122)*(BH124-BF124)/(BH$122-BF$122))+BF124</f>
        <v>1.5</v>
      </c>
      <c r="BH124" s="397">
        <v>1</v>
      </c>
      <c r="BI124" s="395">
        <f>((AQ$88-BH$122)*(BJ124-BH124)/(BJ$122-BH$122))+BH124</f>
        <v>1.1875000000000002</v>
      </c>
      <c r="BJ124" s="397">
        <v>1.1000000000000001</v>
      </c>
      <c r="BK124" s="395">
        <f>((AQ$88-BJ$122)*(BL124-BJ124)/(BL$122-BJ$122))+BJ124</f>
        <v>1.1700000000000002</v>
      </c>
      <c r="BL124" s="377">
        <v>1.3</v>
      </c>
      <c r="BM124" s="397" t="s">
        <v>114</v>
      </c>
      <c r="BN124" s="410">
        <v>2</v>
      </c>
      <c r="BO124" s="642"/>
      <c r="BS124" s="8"/>
      <c r="BU124" s="8"/>
      <c r="BV124" s="8"/>
      <c r="BW124" s="8"/>
      <c r="BX124" s="8"/>
      <c r="BY124" s="8"/>
      <c r="BZ124" s="8"/>
      <c r="CA124" s="8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</row>
    <row r="125" spans="2:183" s="76" customFormat="1" ht="12" customHeight="1">
      <c r="B125" s="690"/>
      <c r="C125" s="690"/>
      <c r="D125" s="680"/>
      <c r="E125" s="680"/>
      <c r="F125" s="680"/>
      <c r="G125" s="680"/>
      <c r="H125" s="680"/>
      <c r="I125" s="680"/>
      <c r="J125" s="680"/>
      <c r="K125" s="680"/>
      <c r="L125" s="680"/>
      <c r="M125" s="680"/>
      <c r="N125" s="680"/>
      <c r="O125" s="680"/>
      <c r="P125" s="680"/>
      <c r="Q125" s="680"/>
      <c r="R125" s="680"/>
      <c r="S125" s="680"/>
      <c r="T125" s="680"/>
      <c r="U125" s="680"/>
      <c r="V125" s="680"/>
      <c r="W125" s="680"/>
      <c r="X125" s="680"/>
      <c r="Y125" s="680"/>
      <c r="Z125" s="680"/>
      <c r="AA125" s="680"/>
      <c r="AB125" s="680"/>
      <c r="AC125" s="680"/>
      <c r="AD125" s="680"/>
      <c r="AE125" s="680"/>
      <c r="AF125" s="680"/>
      <c r="AG125" s="680"/>
      <c r="AH125" s="680"/>
      <c r="AI125" s="680"/>
      <c r="AJ125" s="680"/>
      <c r="AK125" s="680"/>
      <c r="AL125" s="680"/>
      <c r="AM125" s="679"/>
      <c r="AN125" s="679"/>
      <c r="AO125" s="681"/>
      <c r="AP125" s="681"/>
      <c r="AQ125" s="179"/>
      <c r="AR125" s="180"/>
      <c r="AS125" s="180"/>
      <c r="AT125" s="80"/>
      <c r="AU125" s="80"/>
      <c r="AV125" s="183">
        <v>2.42</v>
      </c>
      <c r="AW125" s="185">
        <f t="shared" si="8"/>
        <v>0.21487603305785125</v>
      </c>
      <c r="AX125" s="201">
        <f t="shared" si="6"/>
        <v>0.21487603305785125</v>
      </c>
      <c r="AY125" s="187">
        <v>1.21</v>
      </c>
      <c r="AZ125" s="189">
        <f t="shared" si="9"/>
        <v>0.26568187252583758</v>
      </c>
      <c r="BA125" s="202">
        <f t="shared" si="7"/>
        <v>0.26568187252583758</v>
      </c>
      <c r="BB125" s="202">
        <f t="shared" si="10"/>
        <v>1.3</v>
      </c>
      <c r="BC125" s="181"/>
      <c r="BD125" s="400">
        <v>0.7</v>
      </c>
      <c r="BE125" s="393">
        <f>((AQ$88-BD$122)*(BF125-BD125)/(BF$122-BD$122))+BD125</f>
        <v>2.4250000000000007</v>
      </c>
      <c r="BF125" s="397">
        <v>0.85</v>
      </c>
      <c r="BG125" s="395">
        <f>((AQ$88-BF$122)*(BH125-BF125)/(BH$122-BF$122))+BF125</f>
        <v>1.5500000000000003</v>
      </c>
      <c r="BH125" s="397">
        <v>1.05</v>
      </c>
      <c r="BI125" s="395">
        <f>((AQ$88-BH$122)*(BJ125-BH125)/(BJ$122-BH$122))+BH125</f>
        <v>1.3312499999999998</v>
      </c>
      <c r="BJ125" s="397">
        <v>1.2</v>
      </c>
      <c r="BK125" s="395">
        <f>((AQ$88-BJ$122)*(BL125-BJ125)/(BL$122-BJ$122))+BJ125</f>
        <v>1.27</v>
      </c>
      <c r="BL125" s="377">
        <v>1.4</v>
      </c>
      <c r="BM125" s="397" t="s">
        <v>115</v>
      </c>
      <c r="BN125" s="410">
        <v>3</v>
      </c>
      <c r="BO125" s="642"/>
      <c r="BS125" s="8"/>
      <c r="BU125" s="8"/>
      <c r="BV125" s="8"/>
      <c r="BW125" s="8"/>
      <c r="BX125" s="8"/>
      <c r="BY125" s="8"/>
      <c r="BZ125" s="8"/>
      <c r="CA125" s="8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</row>
    <row r="126" spans="2:183" s="76" customFormat="1" ht="12" customHeight="1">
      <c r="B126" s="688" t="s">
        <v>199</v>
      </c>
      <c r="C126" s="688"/>
      <c r="D126" s="686" t="s">
        <v>228</v>
      </c>
      <c r="E126" s="686"/>
      <c r="F126" s="686"/>
      <c r="G126" s="686"/>
      <c r="H126" s="686"/>
      <c r="I126" s="686"/>
      <c r="J126" s="686"/>
      <c r="K126" s="686"/>
      <c r="L126" s="686"/>
      <c r="M126" s="686"/>
      <c r="N126" s="686"/>
      <c r="O126" s="686"/>
      <c r="P126" s="686"/>
      <c r="Q126" s="686"/>
      <c r="R126" s="686"/>
      <c r="S126" s="686"/>
      <c r="T126" s="686"/>
      <c r="U126" s="686"/>
      <c r="V126" s="686"/>
      <c r="W126" s="686"/>
      <c r="X126" s="686"/>
      <c r="Y126" s="686"/>
      <c r="Z126" s="686"/>
      <c r="AA126" s="686"/>
      <c r="AB126" s="686"/>
      <c r="AC126" s="241"/>
      <c r="AD126" s="241"/>
      <c r="AE126" s="241"/>
      <c r="AF126" s="241"/>
      <c r="AG126" s="241"/>
      <c r="AH126" s="241"/>
      <c r="AI126" s="241"/>
      <c r="AJ126" s="241"/>
      <c r="AK126" s="241"/>
      <c r="AL126" s="241"/>
      <c r="AM126" s="241"/>
      <c r="AN126" s="241"/>
      <c r="AO126" s="241"/>
      <c r="AP126" s="368"/>
      <c r="AQ126" s="739" t="s">
        <v>230</v>
      </c>
      <c r="AR126" s="739"/>
      <c r="AS126" s="180"/>
      <c r="AT126" s="80"/>
      <c r="AU126" s="80"/>
      <c r="AV126" s="183">
        <v>2.44</v>
      </c>
      <c r="AW126" s="185">
        <f t="shared" si="8"/>
        <v>0.21311475409836067</v>
      </c>
      <c r="AX126" s="201">
        <f t="shared" si="6"/>
        <v>0.21311475409836067</v>
      </c>
      <c r="AY126" s="187">
        <v>1.22</v>
      </c>
      <c r="AZ126" s="189">
        <f t="shared" si="9"/>
        <v>0.26568187252583758</v>
      </c>
      <c r="BA126" s="202">
        <f t="shared" si="7"/>
        <v>0.26568187252583758</v>
      </c>
      <c r="BB126" s="202">
        <f t="shared" si="10"/>
        <v>1.3</v>
      </c>
      <c r="BC126" s="181"/>
      <c r="BD126" s="400">
        <v>0.7</v>
      </c>
      <c r="BE126" s="393">
        <f>((AQ$88-BD$122)*(BF126-BD126)/(BF$122-BD$122))+BD126</f>
        <v>3.0000000000000018</v>
      </c>
      <c r="BF126" s="397">
        <v>0.9</v>
      </c>
      <c r="BG126" s="395">
        <f>((AQ$88-BF$122)*(BH126-BF126)/(BH$122-BF$122))+BF126</f>
        <v>1.6000000000000003</v>
      </c>
      <c r="BH126" s="397">
        <v>1.1000000000000001</v>
      </c>
      <c r="BI126" s="395">
        <f>((AQ$88-BH$122)*(BJ126-BH126)/(BJ$122-BH$122))+BH126</f>
        <v>1.4750000000000001</v>
      </c>
      <c r="BJ126" s="397">
        <v>1.3</v>
      </c>
      <c r="BK126" s="395">
        <f>((AQ$88-BJ$122)*(BL126-BJ126)/(BL$122-BJ$122))+BJ126</f>
        <v>1.37</v>
      </c>
      <c r="BL126" s="377">
        <v>1.5</v>
      </c>
      <c r="BM126" s="397" t="s">
        <v>116</v>
      </c>
      <c r="BN126" s="410">
        <v>4</v>
      </c>
      <c r="BO126" s="642"/>
      <c r="BS126" s="8"/>
      <c r="BU126" s="8"/>
      <c r="BV126" s="8"/>
      <c r="BW126" s="8"/>
      <c r="BX126" s="8"/>
      <c r="BY126" s="8"/>
      <c r="BZ126" s="8"/>
      <c r="CA126" s="8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</row>
    <row r="127" spans="2:183" s="76" customFormat="1" ht="12" customHeight="1" thickBot="1">
      <c r="B127" s="688"/>
      <c r="C127" s="688"/>
      <c r="D127" s="686"/>
      <c r="E127" s="686"/>
      <c r="F127" s="686"/>
      <c r="G127" s="686"/>
      <c r="H127" s="686"/>
      <c r="I127" s="686"/>
      <c r="J127" s="686"/>
      <c r="K127" s="686"/>
      <c r="L127" s="686"/>
      <c r="M127" s="686"/>
      <c r="N127" s="686"/>
      <c r="O127" s="686"/>
      <c r="P127" s="686"/>
      <c r="Q127" s="686"/>
      <c r="R127" s="686"/>
      <c r="S127" s="686"/>
      <c r="T127" s="686"/>
      <c r="U127" s="686"/>
      <c r="V127" s="686"/>
      <c r="W127" s="686"/>
      <c r="X127" s="686"/>
      <c r="Y127" s="686"/>
      <c r="Z127" s="686"/>
      <c r="AA127" s="686"/>
      <c r="AB127" s="686"/>
      <c r="AP127" s="6"/>
      <c r="AQ127" s="739"/>
      <c r="AR127" s="739"/>
      <c r="AS127" s="180"/>
      <c r="AT127" s="80"/>
      <c r="AU127" s="80"/>
      <c r="AV127" s="183">
        <v>2.46</v>
      </c>
      <c r="AW127" s="185">
        <f t="shared" si="8"/>
        <v>0.21138211382113822</v>
      </c>
      <c r="AX127" s="201">
        <f t="shared" si="6"/>
        <v>0.21138211382113822</v>
      </c>
      <c r="AY127" s="187">
        <v>1.23</v>
      </c>
      <c r="AZ127" s="189">
        <f t="shared" si="9"/>
        <v>0.26568187252583758</v>
      </c>
      <c r="BA127" s="202">
        <f t="shared" si="7"/>
        <v>0.26568187252583758</v>
      </c>
      <c r="BB127" s="202">
        <f t="shared" si="10"/>
        <v>1.3</v>
      </c>
      <c r="BC127" s="181"/>
      <c r="BD127" s="394">
        <v>0.7</v>
      </c>
      <c r="BE127" s="401">
        <f>((AQ$88-BD$122)*(BF127-BD127)/(BF$122-BD$122))+BD127</f>
        <v>2.4250000000000007</v>
      </c>
      <c r="BF127" s="399">
        <v>0.85</v>
      </c>
      <c r="BG127" s="398">
        <f>((AQ$88-BF$122)*(BH127-BF127)/(BH$122-BF$122))+BF127</f>
        <v>1.5500000000000003</v>
      </c>
      <c r="BH127" s="399">
        <v>1.05</v>
      </c>
      <c r="BI127" s="398">
        <f>((AQ$88-BH$122)*(BJ127-BH127)/(BJ$122-BH$122))+BH127</f>
        <v>1.3312499999999998</v>
      </c>
      <c r="BJ127" s="399">
        <v>1.2</v>
      </c>
      <c r="BK127" s="398">
        <f>((AQ$88-BJ$122)*(BL127-BJ127)/(BL$122-BJ$122))+BJ127</f>
        <v>1.27</v>
      </c>
      <c r="BL127" s="378">
        <v>1.4</v>
      </c>
      <c r="BM127" s="399" t="s">
        <v>117</v>
      </c>
      <c r="BN127" s="411">
        <v>5</v>
      </c>
      <c r="BO127" s="642"/>
      <c r="BS127" s="8"/>
      <c r="BU127" s="8"/>
      <c r="BV127" s="8"/>
      <c r="BW127" s="8"/>
      <c r="BX127" s="8"/>
      <c r="BY127" s="8"/>
      <c r="BZ127" s="8"/>
      <c r="CA127" s="8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</row>
    <row r="128" spans="2:183" s="76" customFormat="1" ht="12" customHeight="1">
      <c r="B128" s="223"/>
      <c r="C128" s="223"/>
      <c r="D128" s="237"/>
      <c r="E128" s="238"/>
      <c r="F128" s="238"/>
      <c r="G128" s="238"/>
      <c r="H128" s="238"/>
      <c r="I128" s="238"/>
      <c r="J128" s="687">
        <f>IF(OR(AK26&gt;0.6,AK26=0.6),MAX(0.01,(0.044*AQ92*AM106),AB130),"")</f>
        <v>6.6666666666666666E-2</v>
      </c>
      <c r="K128" s="687"/>
      <c r="L128" s="687"/>
      <c r="M128" s="687"/>
      <c r="N128" s="693" t="str">
        <f>IF(OR(AK26&gt;0.6,AK26=0.6),"C(min) =","")</f>
        <v>C(min) =</v>
      </c>
      <c r="O128" s="693"/>
      <c r="P128" s="693"/>
      <c r="Q128" s="693"/>
      <c r="R128" s="860" t="str">
        <f>IF(OR(AK26&gt;0.6,AK26=0.6),"è","")</f>
        <v>è</v>
      </c>
      <c r="S128" s="860"/>
      <c r="T128" s="826">
        <f>MAX(0.01,(0.044*AQ92*AM106))</f>
        <v>3.9599999999999996E-2</v>
      </c>
      <c r="U128" s="826"/>
      <c r="V128" s="826"/>
      <c r="W128" s="826"/>
      <c r="X128" s="244"/>
      <c r="Y128" s="244"/>
      <c r="AC128" s="231"/>
      <c r="AD128" s="231"/>
      <c r="AE128" s="239"/>
      <c r="AF128" s="239"/>
      <c r="AG128" s="239"/>
      <c r="AH128" s="30"/>
      <c r="AI128" s="30"/>
      <c r="AJ128" s="30"/>
      <c r="AK128" s="231"/>
      <c r="AL128" s="231"/>
      <c r="AM128" s="19"/>
      <c r="AN128" s="19"/>
      <c r="AO128" s="19"/>
      <c r="AP128" s="367"/>
      <c r="AS128" s="180"/>
      <c r="AT128" s="80"/>
      <c r="AU128" s="80"/>
      <c r="AV128" s="183">
        <v>2.48</v>
      </c>
      <c r="AW128" s="185">
        <f t="shared" si="8"/>
        <v>0.20967741935483872</v>
      </c>
      <c r="AX128" s="201">
        <f t="shared" si="6"/>
        <v>0.20967741935483872</v>
      </c>
      <c r="AY128" s="187">
        <v>1.24</v>
      </c>
      <c r="AZ128" s="189">
        <f t="shared" si="9"/>
        <v>0.26568187252583758</v>
      </c>
      <c r="BA128" s="202">
        <f t="shared" si="7"/>
        <v>0.26568187252583758</v>
      </c>
      <c r="BB128" s="202">
        <f t="shared" si="10"/>
        <v>1.3</v>
      </c>
      <c r="BC128" s="181"/>
      <c r="BD128" s="349"/>
      <c r="BE128" s="349"/>
      <c r="BF128" s="349"/>
      <c r="BG128" s="349"/>
      <c r="BH128" s="349"/>
      <c r="BI128" s="349"/>
      <c r="BJ128" s="349"/>
      <c r="BK128" s="349"/>
      <c r="BL128" s="349"/>
      <c r="BM128" s="349"/>
      <c r="BN128" s="349"/>
      <c r="BO128" s="642"/>
      <c r="BS128" s="8"/>
      <c r="BU128" s="8"/>
      <c r="BV128" s="8"/>
      <c r="BW128" s="8"/>
      <c r="BX128" s="8"/>
      <c r="BY128" s="8"/>
      <c r="BZ128" s="8"/>
      <c r="CA128" s="8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</row>
    <row r="129" spans="2:183" s="76" customFormat="1" ht="12" customHeight="1">
      <c r="B129" s="223"/>
      <c r="C129" s="223"/>
      <c r="D129" s="237"/>
      <c r="E129" s="238"/>
      <c r="F129" s="238"/>
      <c r="G129" s="238"/>
      <c r="H129" s="238"/>
      <c r="I129" s="238"/>
      <c r="J129" s="687"/>
      <c r="K129" s="687"/>
      <c r="L129" s="687"/>
      <c r="M129" s="687"/>
      <c r="N129" s="693"/>
      <c r="O129" s="693"/>
      <c r="P129" s="693"/>
      <c r="Q129" s="693"/>
      <c r="R129" s="860"/>
      <c r="S129" s="860"/>
      <c r="T129" s="826"/>
      <c r="U129" s="826"/>
      <c r="V129" s="826"/>
      <c r="W129" s="826"/>
      <c r="X129" s="244"/>
      <c r="Y129" s="244"/>
      <c r="AC129" s="245"/>
      <c r="AD129" s="245"/>
      <c r="AE129" s="245"/>
      <c r="AG129" s="21"/>
      <c r="AH129" s="21"/>
      <c r="AI129" s="21"/>
      <c r="AJ129" s="21"/>
      <c r="AK129" s="21"/>
      <c r="AL129" s="21"/>
      <c r="AM129" s="21"/>
      <c r="AN129" s="21"/>
      <c r="AO129" s="21"/>
      <c r="AP129" s="367"/>
      <c r="AQ129" s="861">
        <f>IF(OR(AK26&gt;0.6,AK26=0.6),MAX(0.01,(0.044*AQ92*AM106),(0.5*AK26/(AQ40/AM106))),MAX(0.01,(0.044*AQ92*AM106)))</f>
        <v>6.6666666666666666E-2</v>
      </c>
      <c r="AR129" s="763" t="s">
        <v>270</v>
      </c>
      <c r="AS129" s="180"/>
      <c r="AT129" s="80"/>
      <c r="AU129" s="80"/>
      <c r="AV129" s="183">
        <v>2.5</v>
      </c>
      <c r="AW129" s="185">
        <f t="shared" si="8"/>
        <v>0.20800000000000002</v>
      </c>
      <c r="AX129" s="201">
        <f t="shared" si="6"/>
        <v>0.20800000000000002</v>
      </c>
      <c r="AY129" s="187">
        <v>1.25</v>
      </c>
      <c r="AZ129" s="189">
        <f t="shared" si="9"/>
        <v>0.26568187252583758</v>
      </c>
      <c r="BA129" s="202">
        <f t="shared" si="7"/>
        <v>0.26568187252583758</v>
      </c>
      <c r="BB129" s="202">
        <f t="shared" si="10"/>
        <v>1.3</v>
      </c>
      <c r="BC129" s="181"/>
      <c r="BD129" s="349"/>
      <c r="BE129" s="349"/>
      <c r="BF129" s="349"/>
      <c r="BG129" s="349"/>
      <c r="BH129" s="349"/>
      <c r="BI129" s="349"/>
      <c r="BJ129" s="349"/>
      <c r="BK129" s="349"/>
      <c r="BL129" s="349"/>
      <c r="BM129" s="349"/>
      <c r="BN129" s="349"/>
      <c r="BS129" s="8"/>
      <c r="BU129" s="8"/>
      <c r="BV129" s="8"/>
      <c r="BW129" s="8"/>
      <c r="BX129" s="8"/>
      <c r="BY129" s="8"/>
      <c r="BZ129" s="8"/>
      <c r="CA129" s="8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</row>
    <row r="130" spans="2:183" s="76" customFormat="1" ht="12" customHeight="1">
      <c r="B130" s="223"/>
      <c r="C130" s="223"/>
      <c r="D130" s="237"/>
      <c r="E130" s="238"/>
      <c r="F130" s="238"/>
      <c r="G130" s="238"/>
      <c r="H130" s="238"/>
      <c r="I130" s="238"/>
      <c r="J130" s="242"/>
      <c r="K130" s="242"/>
      <c r="L130" s="242"/>
      <c r="M130" s="242"/>
      <c r="N130" s="237"/>
      <c r="O130" s="237"/>
      <c r="P130" s="237"/>
      <c r="Q130" s="237"/>
      <c r="R130" s="243"/>
      <c r="S130" s="243"/>
      <c r="T130" s="235"/>
      <c r="U130" s="235"/>
      <c r="V130" s="235"/>
      <c r="W130" s="235"/>
      <c r="X130" s="244"/>
      <c r="Y130" s="244"/>
      <c r="AB130" s="709">
        <f>IF(OR(AK26&gt;0.6,AK26=0.6),(0.5*AK26/(AL122/AM106)),"")</f>
        <v>6.6666666666666666E-2</v>
      </c>
      <c r="AC130" s="709"/>
      <c r="AD130" s="709"/>
      <c r="AE130" s="709"/>
      <c r="AF130" s="726" t="str">
        <f>IF(OR(AK26&gt;0.6,AK26=0.6),"C(min) = 0.5S1/(Ru/Ie) =","")</f>
        <v>C(min) = 0.5S1/(Ru/Ie) =</v>
      </c>
      <c r="AG130" s="726"/>
      <c r="AH130" s="726"/>
      <c r="AI130" s="726"/>
      <c r="AJ130" s="726"/>
      <c r="AK130" s="726"/>
      <c r="AL130" s="726"/>
      <c r="AM130" s="726"/>
      <c r="AN130" s="726"/>
      <c r="AO130" s="726"/>
      <c r="AP130" s="367"/>
      <c r="AQ130" s="861"/>
      <c r="AR130" s="763"/>
      <c r="AS130" s="180"/>
      <c r="AT130" s="80"/>
      <c r="AU130" s="80"/>
      <c r="AV130" s="183">
        <v>2.52</v>
      </c>
      <c r="AW130" s="185">
        <f t="shared" si="8"/>
        <v>0.20634920634920637</v>
      </c>
      <c r="AX130" s="201">
        <f t="shared" si="6"/>
        <v>0.20634920634920637</v>
      </c>
      <c r="AY130" s="187">
        <v>1.26</v>
      </c>
      <c r="AZ130" s="189">
        <f t="shared" si="9"/>
        <v>0.26568187252583758</v>
      </c>
      <c r="BA130" s="202">
        <f t="shared" si="7"/>
        <v>0.26568187252583758</v>
      </c>
      <c r="BB130" s="202">
        <f t="shared" si="10"/>
        <v>1.3</v>
      </c>
      <c r="BC130" s="181"/>
      <c r="BD130" s="349"/>
      <c r="BE130" s="349"/>
      <c r="BF130" s="349"/>
      <c r="BG130" s="349"/>
      <c r="BH130" s="349"/>
      <c r="BI130" s="349"/>
      <c r="BJ130" s="349"/>
      <c r="BK130" s="349"/>
      <c r="BL130" s="349"/>
      <c r="BM130" s="349"/>
      <c r="BN130" s="349"/>
      <c r="BS130" s="8"/>
      <c r="BU130" s="8"/>
      <c r="BV130" s="8"/>
      <c r="BW130" s="8"/>
      <c r="BX130" s="8"/>
      <c r="BY130" s="8"/>
      <c r="BZ130" s="8"/>
      <c r="CA130" s="8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</row>
    <row r="131" spans="2:183" s="76" customFormat="1" ht="12" customHeight="1">
      <c r="B131" s="223"/>
      <c r="C131" s="223"/>
      <c r="D131" s="237"/>
      <c r="E131" s="238"/>
      <c r="F131" s="238"/>
      <c r="G131" s="238"/>
      <c r="H131" s="238"/>
      <c r="I131" s="238"/>
      <c r="J131" s="238"/>
      <c r="K131" s="238"/>
      <c r="L131" s="238"/>
      <c r="M131" s="238"/>
      <c r="N131" s="239"/>
      <c r="O131" s="239"/>
      <c r="P131" s="239"/>
      <c r="Q131" s="239"/>
      <c r="R131" s="239"/>
      <c r="S131" s="239"/>
      <c r="T131" s="246"/>
      <c r="U131" s="246"/>
      <c r="V131" s="231"/>
      <c r="W131" s="231"/>
      <c r="X131" s="231"/>
      <c r="Y131" s="19"/>
      <c r="Z131" s="19"/>
      <c r="AA131" s="19"/>
      <c r="AB131" s="709"/>
      <c r="AC131" s="709"/>
      <c r="AD131" s="709"/>
      <c r="AE131" s="709"/>
      <c r="AF131" s="726"/>
      <c r="AG131" s="726"/>
      <c r="AH131" s="726"/>
      <c r="AI131" s="726"/>
      <c r="AJ131" s="726"/>
      <c r="AK131" s="726"/>
      <c r="AL131" s="726"/>
      <c r="AM131" s="726"/>
      <c r="AN131" s="726"/>
      <c r="AO131" s="726"/>
      <c r="AP131" s="367"/>
      <c r="AQ131" s="179"/>
      <c r="AR131" s="180"/>
      <c r="AS131" s="180"/>
      <c r="AT131" s="80"/>
      <c r="AU131" s="80"/>
      <c r="AV131" s="183">
        <v>2.54</v>
      </c>
      <c r="AW131" s="185">
        <f t="shared" si="8"/>
        <v>0.20472440944881889</v>
      </c>
      <c r="AX131" s="201">
        <f t="shared" si="6"/>
        <v>0.20472440944881889</v>
      </c>
      <c r="AY131" s="187">
        <v>1.27</v>
      </c>
      <c r="AZ131" s="189">
        <f t="shared" si="9"/>
        <v>0.26568187252583758</v>
      </c>
      <c r="BA131" s="202">
        <f t="shared" si="7"/>
        <v>0.26568187252583758</v>
      </c>
      <c r="BB131" s="202">
        <f t="shared" si="10"/>
        <v>1.3</v>
      </c>
      <c r="BC131" s="181"/>
      <c r="BD131" s="349"/>
      <c r="BE131" s="349"/>
      <c r="BF131" s="349"/>
      <c r="BG131" s="349"/>
      <c r="BH131" s="349"/>
      <c r="BI131" s="349"/>
      <c r="BJ131" s="349"/>
      <c r="BK131" s="349"/>
      <c r="BL131" s="349"/>
      <c r="BM131" s="349"/>
      <c r="BN131" s="349"/>
      <c r="BS131" s="8"/>
      <c r="BU131" s="8"/>
      <c r="BV131" s="8"/>
      <c r="BW131" s="8"/>
      <c r="BX131" s="8"/>
      <c r="BY131" s="8"/>
      <c r="BZ131" s="8"/>
      <c r="CA131" s="8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</row>
    <row r="132" spans="2:183" s="76" customFormat="1" ht="12" customHeight="1">
      <c r="B132" s="223"/>
      <c r="C132" s="223"/>
      <c r="D132" s="237"/>
      <c r="E132" s="238"/>
      <c r="F132" s="238"/>
      <c r="G132" s="238"/>
      <c r="H132" s="238"/>
      <c r="I132" s="238"/>
      <c r="J132" s="238"/>
      <c r="K132" s="238"/>
      <c r="L132" s="247"/>
      <c r="M132" s="87"/>
      <c r="N132" s="87"/>
      <c r="S132" s="239"/>
      <c r="T132" s="246"/>
      <c r="U132" s="246"/>
      <c r="V132" s="231"/>
      <c r="W132" s="231"/>
      <c r="X132" s="231"/>
      <c r="Y132" s="19"/>
      <c r="Z132" s="19"/>
      <c r="AA132" s="19"/>
      <c r="AB132" s="21"/>
      <c r="AC132" s="231"/>
      <c r="AD132" s="231"/>
      <c r="AE132" s="239"/>
      <c r="AF132" s="239"/>
      <c r="AG132" s="239"/>
      <c r="AH132" s="30"/>
      <c r="AI132" s="30"/>
      <c r="AJ132" s="30"/>
      <c r="AK132" s="231"/>
      <c r="AL132" s="231"/>
      <c r="AM132" s="19"/>
      <c r="AN132" s="19"/>
      <c r="AO132" s="19"/>
      <c r="AP132" s="367"/>
      <c r="AS132" s="180"/>
      <c r="AT132" s="80"/>
      <c r="AU132" s="80"/>
      <c r="AV132" s="183">
        <v>2.56</v>
      </c>
      <c r="AW132" s="185">
        <f t="shared" si="8"/>
        <v>0.203125</v>
      </c>
      <c r="AX132" s="201">
        <f t="shared" ref="AX132:AX195" si="11">IF(AND(OR(AV132&gt;0,AV132=0),OR(AV132&lt;AQ$96,AV132=AQ$96)),(AQ$92*(0.4+(0.6*AV132/AQ$96))),IF(AND(AV132&gt;AQ$96,OR(AV132&lt;AQ$98,AV132=AQ$98)),AQ$92,IF(AND(AV132&gt;AQ$98,AV132&lt;AQ$100),(AQ$94/AV132),IF(OR(AV132&gt;AQ$100,AV132=AQ$100),(AQ$94*AQ$100/(AV132*AV132)),"Error"))))</f>
        <v>0.203125</v>
      </c>
      <c r="AY132" s="187">
        <v>1.28</v>
      </c>
      <c r="AZ132" s="189">
        <f t="shared" si="9"/>
        <v>0.26568187252583758</v>
      </c>
      <c r="BA132" s="202">
        <f t="shared" ref="BA132:BA195" si="12">IF(OR(AY132&lt;0.025,AY132=0.025),0.65*AI$179*(AJ$108/BB132),IF(AND(AY132&gt;0.025,OR(AY132&lt;0.05,AY132=0.05)),(16*AI$179*(AJ$108/BB132)*(AY132-0.025))+(0.65*AI$179*(AJ$108/BB132)),IF(AND(AY132&gt;0.05,OR(AY132&lt;0.1,AY132=0.1)),1.05*AI$179*AJ$108/BB132,IF(AND(AY132&gt;0.1,OR(AY132&lt;2,AY132=2)),MAX(0.5*AJ$108/BB132,(1.05*AI$179*AJ$108/BB132)*((0.1/AY132)^0.5)),IF(AY132&gt;2,0.5*AJ$108/BB132,"Error")))))</f>
        <v>0.26568187252583758</v>
      </c>
      <c r="BB132" s="202">
        <f t="shared" si="10"/>
        <v>1.3</v>
      </c>
      <c r="BC132" s="181"/>
      <c r="BD132" s="349"/>
      <c r="BE132" s="349"/>
      <c r="BF132" s="349"/>
      <c r="BG132" s="349"/>
      <c r="BH132" s="349"/>
      <c r="BI132" s="349"/>
      <c r="BJ132" s="349"/>
      <c r="BK132" s="349"/>
      <c r="BL132" s="349"/>
      <c r="BM132" s="349"/>
      <c r="BN132" s="349"/>
      <c r="BS132" s="8"/>
      <c r="BU132" s="8"/>
      <c r="BV132" s="8"/>
      <c r="BW132" s="8"/>
      <c r="BX132" s="8"/>
      <c r="BY132" s="8"/>
      <c r="BZ132" s="8"/>
      <c r="CA132" s="8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</row>
    <row r="133" spans="2:183" s="76" customFormat="1" ht="12" customHeight="1">
      <c r="B133" s="223"/>
      <c r="C133" s="223"/>
      <c r="D133" s="237"/>
      <c r="E133" s="238"/>
      <c r="F133" s="716" t="str">
        <f>IF(OR(((0.5*AQ103)+0.75)&lt;1,((0.5*AQ103)+0.75)&gt;2),MIN(2,MAX(1,((0.5*AQ103)+0.75))),"")</f>
        <v/>
      </c>
      <c r="G133" s="716"/>
      <c r="H133" s="716"/>
      <c r="I133" s="691" t="str">
        <f>IF(OR(((0.5*AQ103)+0.75)&lt;1,((0.5*AQ103)+0.75)&gt;2),"K =","")</f>
        <v/>
      </c>
      <c r="J133" s="691"/>
      <c r="K133" s="708" t="str">
        <f>IF(OR(((0.5*AQ103)+0.75)&lt;1,((0.5*AQ103)+0.75)&gt;2),"è","")</f>
        <v/>
      </c>
      <c r="L133" s="708"/>
      <c r="M133" s="708" t="str">
        <f>IF(OR(((0.5*AQ103)+0.75)&lt;1,((0.5*AQ103)+0.75)&gt;2),"û","")</f>
        <v/>
      </c>
      <c r="N133" s="708"/>
      <c r="O133" s="691" t="str">
        <f>"0.5" &amp;" * " &amp; ROUND(AQ103,3) &amp;" + " &amp; "0.75 = "&amp;ROUND(((0.5*AQ103)+0.75),3)</f>
        <v>0.5 * 0.753 + 0.75 = 1.126</v>
      </c>
      <c r="P133" s="691"/>
      <c r="Q133" s="691"/>
      <c r="R133" s="691"/>
      <c r="S133" s="691"/>
      <c r="T133" s="691"/>
      <c r="U133" s="691"/>
      <c r="V133" s="691"/>
      <c r="W133" s="691"/>
      <c r="X133" s="691"/>
      <c r="Y133" s="19"/>
      <c r="Z133" s="19"/>
      <c r="AA133" s="19"/>
      <c r="AB133" s="21"/>
      <c r="AC133" s="231"/>
      <c r="AD133" s="698" t="s">
        <v>219</v>
      </c>
      <c r="AE133" s="730"/>
      <c r="AF133" s="239"/>
      <c r="AG133" s="239"/>
      <c r="AH133" s="30"/>
      <c r="AI133" s="30"/>
      <c r="AJ133" s="30"/>
      <c r="AK133" s="231"/>
      <c r="AL133" s="231"/>
      <c r="AM133" s="19"/>
      <c r="AN133" s="19"/>
      <c r="AO133" s="19"/>
      <c r="AP133" s="367"/>
      <c r="AQ133" s="718">
        <f>MIN(2,MAX(1,((0.5*AQ103)+0.75)))</f>
        <v>1.12639</v>
      </c>
      <c r="AR133" s="763" t="s">
        <v>271</v>
      </c>
      <c r="AS133" s="180"/>
      <c r="AT133" s="80"/>
      <c r="AU133" s="80"/>
      <c r="AV133" s="183">
        <v>2.58</v>
      </c>
      <c r="AW133" s="185">
        <f t="shared" ref="AW133:AW196" si="13">AX133</f>
        <v>0.20155038759689922</v>
      </c>
      <c r="AX133" s="201">
        <f t="shared" si="11"/>
        <v>0.20155038759689922</v>
      </c>
      <c r="AY133" s="187">
        <v>1.29</v>
      </c>
      <c r="AZ133" s="189">
        <f t="shared" ref="AZ133:AZ196" si="14">BA133</f>
        <v>0.26568187252583758</v>
      </c>
      <c r="BA133" s="202">
        <f t="shared" si="12"/>
        <v>0.26568187252583758</v>
      </c>
      <c r="BB133" s="202">
        <f t="shared" si="10"/>
        <v>1.3</v>
      </c>
      <c r="BC133" s="181"/>
      <c r="BD133" s="349"/>
      <c r="BE133" s="349"/>
      <c r="BF133" s="349"/>
      <c r="BG133" s="349"/>
      <c r="BH133" s="349"/>
      <c r="BI133" s="349"/>
      <c r="BJ133" s="349"/>
      <c r="BK133" s="349"/>
      <c r="BL133" s="349"/>
      <c r="BM133" s="349"/>
      <c r="BN133" s="349"/>
      <c r="BS133" s="8"/>
      <c r="BU133" s="8"/>
      <c r="BV133" s="8"/>
      <c r="BW133" s="8"/>
      <c r="BX133" s="8"/>
      <c r="BY133" s="8"/>
      <c r="BZ133" s="8"/>
      <c r="CA133" s="8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</row>
    <row r="134" spans="2:183" s="76" customFormat="1" ht="12" customHeight="1">
      <c r="B134" s="223"/>
      <c r="C134" s="223"/>
      <c r="D134" s="237"/>
      <c r="E134" s="238"/>
      <c r="F134" s="716"/>
      <c r="G134" s="716"/>
      <c r="H134" s="716"/>
      <c r="I134" s="691"/>
      <c r="J134" s="691"/>
      <c r="K134" s="708"/>
      <c r="L134" s="708"/>
      <c r="M134" s="708"/>
      <c r="N134" s="708"/>
      <c r="O134" s="691"/>
      <c r="P134" s="691"/>
      <c r="Q134" s="691"/>
      <c r="R134" s="691"/>
      <c r="S134" s="691"/>
      <c r="T134" s="691"/>
      <c r="U134" s="691"/>
      <c r="V134" s="691"/>
      <c r="W134" s="691"/>
      <c r="X134" s="691"/>
      <c r="Y134" s="19"/>
      <c r="Z134" s="19"/>
      <c r="AA134" s="19"/>
      <c r="AB134" s="21"/>
      <c r="AC134" s="231"/>
      <c r="AD134" s="730"/>
      <c r="AE134" s="730"/>
      <c r="AF134" s="239"/>
      <c r="AG134" s="239"/>
      <c r="AH134" s="30"/>
      <c r="AI134" s="30"/>
      <c r="AJ134" s="30"/>
      <c r="AK134" s="231"/>
      <c r="AL134" s="231"/>
      <c r="AM134" s="19"/>
      <c r="AN134" s="19"/>
      <c r="AO134" s="19"/>
      <c r="AP134" s="367"/>
      <c r="AQ134" s="718"/>
      <c r="AR134" s="763"/>
      <c r="AS134" s="180"/>
      <c r="AT134" s="80"/>
      <c r="AU134" s="80"/>
      <c r="AV134" s="183">
        <v>2.6</v>
      </c>
      <c r="AW134" s="185">
        <f t="shared" si="13"/>
        <v>0.2</v>
      </c>
      <c r="AX134" s="201">
        <f t="shared" si="11"/>
        <v>0.2</v>
      </c>
      <c r="AY134" s="187">
        <v>1.3</v>
      </c>
      <c r="AZ134" s="189">
        <f t="shared" si="14"/>
        <v>0.26568187252583758</v>
      </c>
      <c r="BA134" s="202">
        <f t="shared" si="12"/>
        <v>0.26568187252583758</v>
      </c>
      <c r="BB134" s="202">
        <f t="shared" si="10"/>
        <v>1.3</v>
      </c>
      <c r="BC134" s="181"/>
      <c r="BD134" s="349"/>
      <c r="BE134" s="349"/>
      <c r="BF134" s="349"/>
      <c r="BG134" s="349"/>
      <c r="BH134" s="349"/>
      <c r="BI134" s="349"/>
      <c r="BJ134" s="349"/>
      <c r="BK134" s="349"/>
      <c r="BL134" s="349"/>
      <c r="BM134" s="349"/>
      <c r="BN134" s="349"/>
      <c r="BS134" s="8"/>
      <c r="BU134" s="8"/>
      <c r="BV134" s="8"/>
      <c r="BW134" s="8"/>
      <c r="BX134" s="8"/>
      <c r="BY134" s="8"/>
      <c r="BZ134" s="8"/>
      <c r="CA134" s="8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</row>
    <row r="135" spans="2:183" s="76" customFormat="1" ht="12" customHeight="1">
      <c r="B135" s="250"/>
      <c r="C135" s="250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1"/>
      <c r="R135" s="241"/>
      <c r="S135" s="241"/>
      <c r="T135" s="241"/>
      <c r="U135" s="241"/>
      <c r="V135" s="241"/>
      <c r="W135" s="241"/>
      <c r="X135" s="241"/>
      <c r="Y135" s="241"/>
      <c r="Z135" s="241"/>
      <c r="AA135" s="712">
        <f>AJ108</f>
        <v>0.69077286856717779</v>
      </c>
      <c r="AB135" s="712"/>
      <c r="AC135" s="712"/>
      <c r="AD135" s="251"/>
      <c r="AE135" s="251"/>
      <c r="AF135" s="252"/>
      <c r="AG135" s="252"/>
      <c r="AH135" s="21"/>
      <c r="AI135" s="21"/>
      <c r="AJ135" s="21"/>
      <c r="AK135" s="253"/>
      <c r="AL135" s="253"/>
      <c r="AM135" s="253"/>
      <c r="AN135" s="253"/>
      <c r="AO135" s="253"/>
      <c r="AP135" s="369"/>
      <c r="AQ135" s="179"/>
      <c r="AR135" s="180"/>
      <c r="AS135" s="180"/>
      <c r="AT135" s="80"/>
      <c r="AU135" s="80"/>
      <c r="AV135" s="183">
        <v>2.62</v>
      </c>
      <c r="AW135" s="185">
        <f t="shared" si="13"/>
        <v>0.19847328244274809</v>
      </c>
      <c r="AX135" s="201">
        <f t="shared" si="11"/>
        <v>0.19847328244274809</v>
      </c>
      <c r="AY135" s="187">
        <v>1.31</v>
      </c>
      <c r="AZ135" s="189">
        <f t="shared" si="14"/>
        <v>0.26568187252583758</v>
      </c>
      <c r="BA135" s="202">
        <f t="shared" si="12"/>
        <v>0.26568187252583758</v>
      </c>
      <c r="BB135" s="202">
        <f t="shared" si="10"/>
        <v>1.3</v>
      </c>
      <c r="BC135" s="181"/>
      <c r="BD135" s="349"/>
      <c r="BE135" s="349"/>
      <c r="BF135" s="349"/>
      <c r="BG135" s="349"/>
      <c r="BH135" s="349"/>
      <c r="BI135" s="349"/>
      <c r="BJ135" s="349"/>
      <c r="BK135" s="349"/>
      <c r="BL135" s="349"/>
      <c r="BM135" s="349"/>
      <c r="BN135" s="349"/>
      <c r="BS135" s="8"/>
      <c r="BU135" s="8"/>
      <c r="BV135" s="8"/>
      <c r="BW135" s="8"/>
      <c r="BX135" s="8"/>
      <c r="BY135" s="8"/>
      <c r="BZ135" s="8"/>
      <c r="CA135" s="8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</row>
    <row r="136" spans="2:183" s="76" customFormat="1" ht="12" customHeight="1">
      <c r="B136" s="250"/>
      <c r="C136" s="250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  <c r="AA136" s="712"/>
      <c r="AB136" s="712"/>
      <c r="AC136" s="712"/>
      <c r="AD136" s="251"/>
      <c r="AE136" s="251"/>
      <c r="AF136" s="252"/>
      <c r="AG136" s="252"/>
      <c r="AH136" s="21"/>
      <c r="AI136" s="21"/>
      <c r="AJ136" s="21"/>
      <c r="AK136" s="253"/>
      <c r="AL136" s="253"/>
      <c r="AM136" s="253"/>
      <c r="AN136" s="253"/>
      <c r="AO136" s="253"/>
      <c r="AP136" s="369"/>
      <c r="AQ136" s="179"/>
      <c r="AR136" s="180"/>
      <c r="AS136" s="180"/>
      <c r="AT136" s="80"/>
      <c r="AU136" s="80"/>
      <c r="AV136" s="183">
        <v>2.64</v>
      </c>
      <c r="AW136" s="185">
        <f t="shared" si="13"/>
        <v>0.19696969696969696</v>
      </c>
      <c r="AX136" s="201">
        <f t="shared" si="11"/>
        <v>0.19696969696969696</v>
      </c>
      <c r="AY136" s="187">
        <v>1.32</v>
      </c>
      <c r="AZ136" s="189">
        <f t="shared" si="14"/>
        <v>0.26568187252583758</v>
      </c>
      <c r="BA136" s="202">
        <f t="shared" si="12"/>
        <v>0.26568187252583758</v>
      </c>
      <c r="BB136" s="202">
        <f t="shared" ref="BB136:BB199" si="15">IF(OR(AY136&lt;0.2,AY136=0.2),1,IF(AND(AY136&gt;0.2,OR(AY136&lt;1,AY136=1)),(1+(0.375*(AY136-0.2))),IF(AND(AY136&gt;1,OR(AY136&lt;10,AY136=10)),1.3,"Error")))</f>
        <v>1.3</v>
      </c>
      <c r="BC136" s="181"/>
      <c r="BD136" s="349"/>
      <c r="BE136" s="349"/>
      <c r="BF136" s="349"/>
      <c r="BG136" s="349"/>
      <c r="BH136" s="349"/>
      <c r="BI136" s="349"/>
      <c r="BJ136" s="349"/>
      <c r="BK136" s="349"/>
      <c r="BL136" s="349"/>
      <c r="BM136" s="349"/>
      <c r="BN136" s="349"/>
      <c r="BS136" s="8"/>
      <c r="BU136" s="8"/>
      <c r="BV136" s="8"/>
      <c r="BW136" s="8"/>
      <c r="BX136" s="8"/>
      <c r="BY136" s="8"/>
      <c r="BZ136" s="8"/>
      <c r="CA136" s="8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</row>
    <row r="137" spans="2:183" s="76" customFormat="1" ht="12" customHeight="1">
      <c r="B137" s="219"/>
      <c r="C137" s="219"/>
      <c r="D137" s="683" t="str">
        <f>IF(F137=AQ129,"ü","")</f>
        <v/>
      </c>
      <c r="E137" s="683"/>
      <c r="F137" s="682" t="str">
        <f>IF(T137&lt;AQ129,AQ129,"")</f>
        <v/>
      </c>
      <c r="G137" s="682"/>
      <c r="H137" s="682"/>
      <c r="I137" s="682"/>
      <c r="J137" s="692" t="str">
        <f>IF(T137&lt;AQ129,"ρ.C(Design) =","")</f>
        <v/>
      </c>
      <c r="K137" s="692"/>
      <c r="L137" s="692"/>
      <c r="M137" s="692"/>
      <c r="N137" s="692"/>
      <c r="O137" s="692"/>
      <c r="P137" s="708" t="str">
        <f>IF(T137&lt;AQ129,"è","")</f>
        <v/>
      </c>
      <c r="Q137" s="708"/>
      <c r="R137" s="683" t="str">
        <f>IF(T137&lt;AQ129,"û","ü")</f>
        <v>ü</v>
      </c>
      <c r="S137" s="683"/>
      <c r="T137" s="711">
        <f>AQ32*(AJ108/(AQ40/AM106))</f>
        <v>0.15350508190381729</v>
      </c>
      <c r="U137" s="711"/>
      <c r="V137" s="711"/>
      <c r="W137" s="711"/>
      <c r="X137" s="711"/>
      <c r="Y137" s="727" t="s">
        <v>0</v>
      </c>
      <c r="Z137" s="727"/>
      <c r="AA137" s="712"/>
      <c r="AB137" s="712"/>
      <c r="AC137" s="712"/>
      <c r="AD137" s="713">
        <f>AQ32</f>
        <v>1</v>
      </c>
      <c r="AE137" s="713"/>
      <c r="AH137" s="21"/>
      <c r="AI137" s="21"/>
      <c r="AK137" s="228"/>
      <c r="AL137" s="228"/>
      <c r="AM137" s="240"/>
      <c r="AN137" s="240"/>
      <c r="AO137" s="234"/>
      <c r="AP137" s="355"/>
      <c r="AQ137" s="739">
        <f>MAX(T137,AQ129)</f>
        <v>0.15350508190381729</v>
      </c>
      <c r="AR137" s="859" t="s">
        <v>272</v>
      </c>
      <c r="AS137" s="180"/>
      <c r="AT137" s="80"/>
      <c r="AU137" s="80"/>
      <c r="AV137" s="183">
        <v>2.66</v>
      </c>
      <c r="AW137" s="185">
        <f t="shared" si="13"/>
        <v>0.19548872180451127</v>
      </c>
      <c r="AX137" s="201">
        <f t="shared" si="11"/>
        <v>0.19548872180451127</v>
      </c>
      <c r="AY137" s="187">
        <v>1.33</v>
      </c>
      <c r="AZ137" s="189">
        <f t="shared" si="14"/>
        <v>0.26568187252583758</v>
      </c>
      <c r="BA137" s="202">
        <f t="shared" si="12"/>
        <v>0.26568187252583758</v>
      </c>
      <c r="BB137" s="202">
        <f t="shared" si="15"/>
        <v>1.3</v>
      </c>
      <c r="BC137" s="181"/>
      <c r="BD137" s="349"/>
      <c r="BE137" s="349"/>
      <c r="BF137" s="349"/>
      <c r="BG137" s="349"/>
      <c r="BH137" s="349"/>
      <c r="BI137" s="349"/>
      <c r="BJ137" s="349"/>
      <c r="BK137" s="349"/>
      <c r="BL137" s="349"/>
      <c r="BM137" s="349"/>
      <c r="BN137" s="349"/>
      <c r="BS137" s="8"/>
      <c r="BU137" s="8"/>
      <c r="BV137" s="8"/>
      <c r="BW137" s="8"/>
      <c r="BX137" s="8"/>
      <c r="BY137" s="8"/>
      <c r="BZ137" s="8"/>
      <c r="CA137" s="8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</row>
    <row r="138" spans="2:183" s="76" customFormat="1" ht="12" customHeight="1">
      <c r="B138" s="219"/>
      <c r="C138" s="219"/>
      <c r="D138" s="683"/>
      <c r="E138" s="683"/>
      <c r="F138" s="682"/>
      <c r="G138" s="682"/>
      <c r="H138" s="682"/>
      <c r="I138" s="682"/>
      <c r="J138" s="692"/>
      <c r="K138" s="692"/>
      <c r="L138" s="692"/>
      <c r="M138" s="692"/>
      <c r="N138" s="692"/>
      <c r="O138" s="692"/>
      <c r="P138" s="708"/>
      <c r="Q138" s="708"/>
      <c r="R138" s="683"/>
      <c r="S138" s="683"/>
      <c r="T138" s="711"/>
      <c r="U138" s="711"/>
      <c r="V138" s="711"/>
      <c r="W138" s="711"/>
      <c r="X138" s="711"/>
      <c r="Y138" s="727"/>
      <c r="Z138" s="727"/>
      <c r="AA138" s="713">
        <f>AQ40</f>
        <v>4.5</v>
      </c>
      <c r="AB138" s="713"/>
      <c r="AC138" s="713"/>
      <c r="AD138" s="713"/>
      <c r="AE138" s="713"/>
      <c r="AH138" s="254"/>
      <c r="AI138" s="21"/>
      <c r="AJ138" s="254"/>
      <c r="AK138" s="228"/>
      <c r="AL138" s="228"/>
      <c r="AM138" s="240"/>
      <c r="AN138" s="240"/>
      <c r="AO138" s="234"/>
      <c r="AP138" s="355"/>
      <c r="AQ138" s="739"/>
      <c r="AR138" s="859"/>
      <c r="AS138" s="180"/>
      <c r="AT138" s="80"/>
      <c r="AU138" s="80"/>
      <c r="AV138" s="183">
        <v>2.68</v>
      </c>
      <c r="AW138" s="185">
        <f t="shared" si="13"/>
        <v>0.19402985074626866</v>
      </c>
      <c r="AX138" s="201">
        <f t="shared" si="11"/>
        <v>0.19402985074626866</v>
      </c>
      <c r="AY138" s="187">
        <v>1.34</v>
      </c>
      <c r="AZ138" s="189">
        <f t="shared" si="14"/>
        <v>0.26568187252583758</v>
      </c>
      <c r="BA138" s="202">
        <f t="shared" si="12"/>
        <v>0.26568187252583758</v>
      </c>
      <c r="BB138" s="202">
        <f t="shared" si="15"/>
        <v>1.3</v>
      </c>
      <c r="BC138" s="181"/>
      <c r="BD138" s="349"/>
      <c r="BE138" s="349"/>
      <c r="BF138" s="349"/>
      <c r="BG138" s="349"/>
      <c r="BH138" s="349"/>
      <c r="BI138" s="349"/>
      <c r="BJ138" s="349"/>
      <c r="BK138" s="349"/>
      <c r="BL138" s="349"/>
      <c r="BM138" s="349"/>
      <c r="BN138" s="349"/>
      <c r="BS138" s="8"/>
      <c r="BU138" s="8"/>
      <c r="BV138" s="8"/>
      <c r="BW138" s="8"/>
      <c r="BX138" s="8"/>
      <c r="BY138" s="8"/>
      <c r="BZ138" s="8"/>
      <c r="CA138" s="8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</row>
    <row r="139" spans="2:183" s="76" customFormat="1" ht="12" customHeight="1">
      <c r="B139" s="223"/>
      <c r="C139" s="223"/>
      <c r="D139" s="725" t="str">
        <f>IF(T137&lt;AQ129,AQ126,"")</f>
        <v/>
      </c>
      <c r="E139" s="725"/>
      <c r="F139" s="725"/>
      <c r="G139" s="725"/>
      <c r="H139" s="725"/>
      <c r="I139" s="725"/>
      <c r="J139" s="725"/>
      <c r="K139" s="725"/>
      <c r="L139" s="725"/>
      <c r="M139" s="725"/>
      <c r="N139" s="725"/>
      <c r="O139" s="725"/>
      <c r="P139" s="725"/>
      <c r="Q139" s="725"/>
      <c r="R139" s="725"/>
      <c r="S139" s="725"/>
      <c r="T139" s="725"/>
      <c r="U139" s="725"/>
      <c r="V139" s="725"/>
      <c r="W139" s="725"/>
      <c r="X139" s="725"/>
      <c r="Y139" s="725"/>
      <c r="Z139" s="19"/>
      <c r="AA139" s="727" t="str">
        <f>AM106</f>
        <v>1</v>
      </c>
      <c r="AB139" s="727"/>
      <c r="AC139" s="727"/>
      <c r="AD139" s="30"/>
      <c r="AE139" s="30"/>
      <c r="AF139" s="21"/>
      <c r="AG139" s="21"/>
      <c r="AH139" s="21"/>
      <c r="AI139" s="21"/>
      <c r="AJ139" s="21"/>
      <c r="AK139" s="231"/>
      <c r="AL139" s="231"/>
      <c r="AM139" s="19"/>
      <c r="AN139" s="19"/>
      <c r="AO139" s="19"/>
      <c r="AP139" s="367"/>
      <c r="AS139" s="180"/>
      <c r="AT139" s="80"/>
      <c r="AU139" s="80"/>
      <c r="AV139" s="183">
        <v>2.7</v>
      </c>
      <c r="AW139" s="185">
        <f t="shared" si="13"/>
        <v>0.19259259259259259</v>
      </c>
      <c r="AX139" s="201">
        <f t="shared" si="11"/>
        <v>0.19259259259259259</v>
      </c>
      <c r="AY139" s="187">
        <v>1.35</v>
      </c>
      <c r="AZ139" s="189">
        <f t="shared" si="14"/>
        <v>0.26568187252583758</v>
      </c>
      <c r="BA139" s="202">
        <f t="shared" si="12"/>
        <v>0.26568187252583758</v>
      </c>
      <c r="BB139" s="202">
        <f t="shared" si="15"/>
        <v>1.3</v>
      </c>
      <c r="BC139" s="181"/>
      <c r="BD139" s="349"/>
      <c r="BE139" s="349"/>
      <c r="BF139" s="349"/>
      <c r="BG139" s="349"/>
      <c r="BH139" s="349"/>
      <c r="BI139" s="349"/>
      <c r="BJ139" s="349"/>
      <c r="BK139" s="349"/>
      <c r="BL139" s="349"/>
      <c r="BM139" s="349"/>
      <c r="BN139" s="349"/>
      <c r="BS139" s="8"/>
      <c r="BU139" s="8"/>
      <c r="BV139" s="8"/>
      <c r="BW139" s="8"/>
      <c r="BX139" s="8"/>
      <c r="BY139" s="8"/>
      <c r="BZ139" s="8"/>
      <c r="CA139" s="8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</row>
    <row r="140" spans="2:183" s="76" customFormat="1" ht="12" customHeight="1">
      <c r="B140" s="223"/>
      <c r="C140" s="223"/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19"/>
      <c r="AA140" s="19"/>
      <c r="AB140" s="21"/>
      <c r="AC140" s="231"/>
      <c r="AD140" s="231"/>
      <c r="AE140" s="239"/>
      <c r="AF140" s="239"/>
      <c r="AG140" s="239"/>
      <c r="AH140" s="30"/>
      <c r="AI140" s="30"/>
      <c r="AJ140" s="30"/>
      <c r="AK140" s="231"/>
      <c r="AL140" s="231"/>
      <c r="AM140" s="19"/>
      <c r="AN140" s="19"/>
      <c r="AO140" s="19"/>
      <c r="AP140" s="367"/>
      <c r="AS140" s="180"/>
      <c r="AT140" s="80"/>
      <c r="AU140" s="80"/>
      <c r="AV140" s="183">
        <v>2.72</v>
      </c>
      <c r="AW140" s="185">
        <f t="shared" si="13"/>
        <v>0.19117647058823528</v>
      </c>
      <c r="AX140" s="201">
        <f t="shared" si="11"/>
        <v>0.19117647058823528</v>
      </c>
      <c r="AY140" s="187">
        <v>1.36</v>
      </c>
      <c r="AZ140" s="189">
        <f t="shared" si="14"/>
        <v>0.26568187252583758</v>
      </c>
      <c r="BA140" s="202">
        <f t="shared" si="12"/>
        <v>0.26568187252583758</v>
      </c>
      <c r="BB140" s="202">
        <f t="shared" si="15"/>
        <v>1.3</v>
      </c>
      <c r="BC140" s="181"/>
      <c r="BD140" s="349"/>
      <c r="BE140" s="349"/>
      <c r="BF140" s="349"/>
      <c r="BG140" s="349"/>
      <c r="BH140" s="349"/>
      <c r="BI140" s="349"/>
      <c r="BJ140" s="349"/>
      <c r="BK140" s="349"/>
      <c r="BL140" s="349"/>
      <c r="BM140" s="349"/>
      <c r="BN140" s="349"/>
      <c r="BS140" s="8"/>
      <c r="BU140" s="8"/>
      <c r="BV140" s="8"/>
      <c r="BW140" s="8"/>
      <c r="BX140" s="8"/>
      <c r="BY140" s="8"/>
      <c r="BZ140" s="8"/>
      <c r="CA140" s="8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</row>
    <row r="141" spans="2:183" s="76" customFormat="1" ht="12" customHeight="1">
      <c r="B141" s="223"/>
      <c r="C141" s="223"/>
      <c r="D141" s="725" t="str">
        <f>IF(AQ103&gt;MIN(AK43,AA43),"!  هشدار  !","")</f>
        <v/>
      </c>
      <c r="E141" s="725"/>
      <c r="F141" s="725"/>
      <c r="G141" s="725"/>
      <c r="H141" s="728" t="str">
        <f>IF(AND(AQ103&gt;AK43,OR(AQ103&lt;AA43,AQ103=AA43)),"دوره تناوب طراحی در جهت X بیشتر از دوره تناوب تحلیلی این جهت شده است.",IF(AND(AQ103&gt;AA43,OR(AQ103&lt;AK43,AQ103=AK43)),"دوره تناوب طراحی در جهت Y بیشتر از دوره تناوب تحلیلی این جهت شده است.",IF(AND(AQ103&gt;AK43,AQ103&gt;AA43),"دوره تناوب طراحی بیشتر از دوره تناوب‌های تحلیلی هر دو جهت است.","")))</f>
        <v/>
      </c>
      <c r="I141" s="728"/>
      <c r="J141" s="728"/>
      <c r="K141" s="728"/>
      <c r="L141" s="728"/>
      <c r="M141" s="728"/>
      <c r="N141" s="728"/>
      <c r="O141" s="728"/>
      <c r="P141" s="728"/>
      <c r="Q141" s="728"/>
      <c r="R141" s="728"/>
      <c r="S141" s="728"/>
      <c r="T141" s="728"/>
      <c r="U141" s="728"/>
      <c r="V141" s="728"/>
      <c r="W141" s="728"/>
      <c r="X141" s="728"/>
      <c r="Y141" s="728"/>
      <c r="Z141" s="728"/>
      <c r="AA141" s="728"/>
      <c r="AB141" s="728"/>
      <c r="AC141" s="728"/>
      <c r="AD141" s="728"/>
      <c r="AE141" s="728"/>
      <c r="AF141" s="728"/>
      <c r="AG141" s="728"/>
      <c r="AH141" s="728"/>
      <c r="AI141" s="728"/>
      <c r="AJ141" s="728"/>
      <c r="AK141" s="728"/>
      <c r="AL141" s="729" t="str">
        <f>IF(AQ103&gt;MIN(AK43,AA43),"!  هشدار  !","")</f>
        <v/>
      </c>
      <c r="AM141" s="729"/>
      <c r="AN141" s="729"/>
      <c r="AO141" s="729"/>
      <c r="AP141" s="367"/>
      <c r="AQ141" s="179"/>
      <c r="AR141" s="180"/>
      <c r="AS141" s="180"/>
      <c r="AT141" s="80"/>
      <c r="AU141" s="80"/>
      <c r="AV141" s="183">
        <v>2.74</v>
      </c>
      <c r="AW141" s="185">
        <f t="shared" si="13"/>
        <v>0.18978102189781021</v>
      </c>
      <c r="AX141" s="201">
        <f t="shared" si="11"/>
        <v>0.18978102189781021</v>
      </c>
      <c r="AY141" s="187">
        <v>1.37</v>
      </c>
      <c r="AZ141" s="189">
        <f t="shared" si="14"/>
        <v>0.26568187252583758</v>
      </c>
      <c r="BA141" s="202">
        <f t="shared" si="12"/>
        <v>0.26568187252583758</v>
      </c>
      <c r="BB141" s="202">
        <f t="shared" si="15"/>
        <v>1.3</v>
      </c>
      <c r="BC141" s="181"/>
      <c r="BD141" s="349"/>
      <c r="BE141" s="349"/>
      <c r="BF141" s="349"/>
      <c r="BG141" s="349"/>
      <c r="BH141" s="349"/>
      <c r="BI141" s="349"/>
      <c r="BJ141" s="349"/>
      <c r="BK141" s="349"/>
      <c r="BL141" s="349"/>
      <c r="BM141" s="349"/>
      <c r="BN141" s="349"/>
      <c r="BS141" s="8"/>
      <c r="BU141" s="8"/>
      <c r="BV141" s="8"/>
      <c r="BW141" s="8"/>
      <c r="BX141" s="8"/>
      <c r="BY141" s="8"/>
      <c r="BZ141" s="8"/>
      <c r="CA141" s="8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</row>
    <row r="142" spans="2:183" s="76" customFormat="1" ht="12" customHeight="1">
      <c r="B142" s="223"/>
      <c r="C142" s="223"/>
      <c r="D142" s="725"/>
      <c r="E142" s="725"/>
      <c r="F142" s="725"/>
      <c r="G142" s="725"/>
      <c r="H142" s="728"/>
      <c r="I142" s="728"/>
      <c r="J142" s="728"/>
      <c r="K142" s="728"/>
      <c r="L142" s="728"/>
      <c r="M142" s="728"/>
      <c r="N142" s="728"/>
      <c r="O142" s="728"/>
      <c r="P142" s="728"/>
      <c r="Q142" s="728"/>
      <c r="R142" s="728"/>
      <c r="S142" s="728"/>
      <c r="T142" s="728"/>
      <c r="U142" s="728"/>
      <c r="V142" s="728"/>
      <c r="W142" s="728"/>
      <c r="X142" s="728"/>
      <c r="Y142" s="728"/>
      <c r="Z142" s="728"/>
      <c r="AA142" s="728"/>
      <c r="AB142" s="728"/>
      <c r="AC142" s="728"/>
      <c r="AD142" s="728"/>
      <c r="AE142" s="728"/>
      <c r="AF142" s="728"/>
      <c r="AG142" s="728"/>
      <c r="AH142" s="728"/>
      <c r="AI142" s="728"/>
      <c r="AJ142" s="728"/>
      <c r="AK142" s="728"/>
      <c r="AL142" s="729"/>
      <c r="AM142" s="729"/>
      <c r="AN142" s="729"/>
      <c r="AO142" s="729"/>
      <c r="AP142" s="367"/>
      <c r="AQ142" s="179"/>
      <c r="AR142" s="180"/>
      <c r="AS142" s="180"/>
      <c r="AT142" s="80"/>
      <c r="AU142" s="80"/>
      <c r="AV142" s="183">
        <v>2.76</v>
      </c>
      <c r="AW142" s="185">
        <f t="shared" si="13"/>
        <v>0.18840579710144931</v>
      </c>
      <c r="AX142" s="201">
        <f t="shared" si="11"/>
        <v>0.18840579710144931</v>
      </c>
      <c r="AY142" s="187">
        <v>1.38</v>
      </c>
      <c r="AZ142" s="189">
        <f t="shared" si="14"/>
        <v>0.26568187252583758</v>
      </c>
      <c r="BA142" s="202">
        <f t="shared" si="12"/>
        <v>0.26568187252583758</v>
      </c>
      <c r="BB142" s="202">
        <f t="shared" si="15"/>
        <v>1.3</v>
      </c>
      <c r="BC142" s="181"/>
      <c r="BD142" s="349"/>
      <c r="BE142" s="349"/>
      <c r="BF142" s="349"/>
      <c r="BG142" s="349"/>
      <c r="BH142" s="349"/>
      <c r="BI142" s="349"/>
      <c r="BJ142" s="349"/>
      <c r="BK142" s="349"/>
      <c r="BL142" s="349"/>
      <c r="BM142" s="349"/>
      <c r="BN142" s="349"/>
      <c r="BS142" s="8"/>
      <c r="BU142" s="8"/>
      <c r="BV142" s="8"/>
      <c r="BW142" s="8"/>
      <c r="BX142" s="8"/>
      <c r="BY142" s="8"/>
      <c r="BZ142" s="8"/>
      <c r="CA142" s="8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</row>
    <row r="143" spans="2:183" s="76" customFormat="1" ht="12" customHeight="1">
      <c r="B143" s="223"/>
      <c r="C143" s="223"/>
      <c r="D143" s="247"/>
      <c r="E143" s="247"/>
      <c r="F143" s="247"/>
      <c r="G143" s="247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255"/>
      <c r="S143" s="255"/>
      <c r="T143" s="255"/>
      <c r="U143" s="255"/>
      <c r="V143" s="255"/>
      <c r="W143" s="255"/>
      <c r="X143" s="255"/>
      <c r="Y143" s="255"/>
      <c r="Z143" s="255"/>
      <c r="AA143" s="255"/>
      <c r="AB143" s="255"/>
      <c r="AC143" s="255"/>
      <c r="AD143" s="255"/>
      <c r="AE143" s="255"/>
      <c r="AF143" s="255"/>
      <c r="AG143" s="255"/>
      <c r="AH143" s="255"/>
      <c r="AI143" s="255"/>
      <c r="AJ143" s="255"/>
      <c r="AK143" s="255"/>
      <c r="AL143" s="256"/>
      <c r="AM143" s="256"/>
      <c r="AN143" s="256"/>
      <c r="AO143" s="256"/>
      <c r="AP143" s="367"/>
      <c r="AQ143" s="179"/>
      <c r="AR143" s="180"/>
      <c r="AS143" s="180"/>
      <c r="AT143" s="80"/>
      <c r="AU143" s="80"/>
      <c r="AV143" s="183">
        <v>2.78</v>
      </c>
      <c r="AW143" s="185">
        <f t="shared" si="13"/>
        <v>0.18705035971223025</v>
      </c>
      <c r="AX143" s="201">
        <f t="shared" si="11"/>
        <v>0.18705035971223025</v>
      </c>
      <c r="AY143" s="187">
        <v>1.39</v>
      </c>
      <c r="AZ143" s="189">
        <f t="shared" si="14"/>
        <v>0.26568187252583758</v>
      </c>
      <c r="BA143" s="202">
        <f t="shared" si="12"/>
        <v>0.26568187252583758</v>
      </c>
      <c r="BB143" s="202">
        <f t="shared" si="15"/>
        <v>1.3</v>
      </c>
      <c r="BC143" s="181"/>
      <c r="BD143" s="349"/>
      <c r="BE143" s="349"/>
      <c r="BF143" s="349"/>
      <c r="BG143" s="349"/>
      <c r="BH143" s="349"/>
      <c r="BI143" s="349"/>
      <c r="BJ143" s="349"/>
      <c r="BK143" s="349"/>
      <c r="BL143" s="349"/>
      <c r="BM143" s="349"/>
      <c r="BN143" s="349"/>
      <c r="BS143" s="8"/>
      <c r="BU143" s="8"/>
      <c r="BV143" s="8"/>
      <c r="BW143" s="8"/>
      <c r="BX143" s="8"/>
      <c r="BY143" s="8"/>
      <c r="BZ143" s="8"/>
      <c r="CA143" s="8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</row>
    <row r="144" spans="2:183" s="76" customFormat="1" ht="12" customHeight="1">
      <c r="B144" s="678" t="str">
        <f>AJ9</f>
        <v>Ver: 2.0.0</v>
      </c>
      <c r="C144" s="678"/>
      <c r="D144" s="678"/>
      <c r="E144" s="678"/>
      <c r="F144" s="678"/>
      <c r="G144" s="678"/>
      <c r="H144" s="678"/>
      <c r="I144" s="175"/>
      <c r="J144" s="175"/>
      <c r="K144" s="175"/>
      <c r="L144" s="175"/>
      <c r="M144" s="175"/>
      <c r="N144" s="175"/>
      <c r="O144" s="175"/>
      <c r="P144" s="175"/>
      <c r="Q144" s="175"/>
      <c r="R144" s="175"/>
      <c r="S144" s="175"/>
      <c r="T144" s="175"/>
      <c r="U144" s="175"/>
      <c r="V144" s="175"/>
      <c r="W144" s="175"/>
      <c r="X144" s="175"/>
      <c r="Y144" s="176"/>
      <c r="Z144" s="176"/>
      <c r="AA144" s="176"/>
      <c r="AB144" s="93"/>
      <c r="AC144" s="93"/>
      <c r="AD144" s="177"/>
      <c r="AE144" s="177"/>
      <c r="AF144" s="177"/>
      <c r="AG144" s="177"/>
      <c r="AH144" s="177"/>
      <c r="AI144" s="678" t="s">
        <v>248</v>
      </c>
      <c r="AJ144" s="678"/>
      <c r="AK144" s="678"/>
      <c r="AL144" s="678"/>
      <c r="AM144" s="678"/>
      <c r="AN144" s="678"/>
      <c r="AO144" s="678"/>
      <c r="AP144" s="678"/>
      <c r="AQ144" s="179"/>
      <c r="AR144" s="180"/>
      <c r="AS144" s="180"/>
      <c r="AT144" s="80"/>
      <c r="AU144" s="80"/>
      <c r="AV144" s="183">
        <v>2.8</v>
      </c>
      <c r="AW144" s="185">
        <f t="shared" si="13"/>
        <v>0.18571428571428572</v>
      </c>
      <c r="AX144" s="201">
        <f t="shared" si="11"/>
        <v>0.18571428571428572</v>
      </c>
      <c r="AY144" s="187">
        <v>1.4</v>
      </c>
      <c r="AZ144" s="189">
        <f t="shared" si="14"/>
        <v>0.26568187252583758</v>
      </c>
      <c r="BA144" s="202">
        <f t="shared" si="12"/>
        <v>0.26568187252583758</v>
      </c>
      <c r="BB144" s="202">
        <f t="shared" si="15"/>
        <v>1.3</v>
      </c>
      <c r="BC144" s="181"/>
      <c r="BD144" s="349"/>
      <c r="BE144" s="349"/>
      <c r="BF144" s="349"/>
      <c r="BG144" s="349"/>
      <c r="BH144" s="349"/>
      <c r="BI144" s="349"/>
      <c r="BJ144" s="349"/>
      <c r="BK144" s="349"/>
      <c r="BL144" s="349"/>
      <c r="BM144" s="349"/>
      <c r="BN144" s="349"/>
      <c r="BS144" s="8"/>
      <c r="BU144" s="8"/>
      <c r="BV144" s="8"/>
      <c r="BW144" s="8"/>
      <c r="BX144" s="8"/>
      <c r="BY144" s="8"/>
      <c r="BZ144" s="8"/>
      <c r="CA144" s="8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</row>
    <row r="145" spans="2:183" s="76" customFormat="1" ht="12" customHeight="1">
      <c r="B145" s="223"/>
      <c r="C145" s="223"/>
      <c r="D145" s="247"/>
      <c r="E145" s="247"/>
      <c r="F145" s="247"/>
      <c r="G145" s="247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255"/>
      <c r="S145" s="255"/>
      <c r="T145" s="255"/>
      <c r="U145" s="255"/>
      <c r="V145" s="255"/>
      <c r="W145" s="255"/>
      <c r="X145" s="255"/>
      <c r="Y145" s="255"/>
      <c r="Z145" s="255"/>
      <c r="AA145" s="255"/>
      <c r="AB145" s="255"/>
      <c r="AC145" s="255"/>
      <c r="AD145" s="255"/>
      <c r="AE145" s="255"/>
      <c r="AF145" s="255"/>
      <c r="AG145" s="255"/>
      <c r="AH145" s="255"/>
      <c r="AI145" s="255"/>
      <c r="AJ145" s="255"/>
      <c r="AK145" s="255"/>
      <c r="AL145" s="256"/>
      <c r="AM145" s="256"/>
      <c r="AN145" s="256"/>
      <c r="AO145" s="256"/>
      <c r="AP145" s="367"/>
      <c r="AQ145" s="179"/>
      <c r="AR145" s="180"/>
      <c r="AS145" s="180"/>
      <c r="AT145" s="80"/>
      <c r="AU145" s="80"/>
      <c r="AV145" s="183">
        <v>2.82</v>
      </c>
      <c r="AW145" s="185">
        <f t="shared" si="13"/>
        <v>0.18439716312056739</v>
      </c>
      <c r="AX145" s="201">
        <f t="shared" si="11"/>
        <v>0.18439716312056739</v>
      </c>
      <c r="AY145" s="187">
        <v>1.41</v>
      </c>
      <c r="AZ145" s="189">
        <f t="shared" si="14"/>
        <v>0.26568187252583758</v>
      </c>
      <c r="BA145" s="202">
        <f t="shared" si="12"/>
        <v>0.26568187252583758</v>
      </c>
      <c r="BB145" s="202">
        <f t="shared" si="15"/>
        <v>1.3</v>
      </c>
      <c r="BC145" s="181"/>
      <c r="BD145" s="349"/>
      <c r="BE145" s="349"/>
      <c r="BF145" s="349"/>
      <c r="BG145" s="349"/>
      <c r="BH145" s="349"/>
      <c r="BI145" s="349"/>
      <c r="BJ145" s="349"/>
      <c r="BK145" s="349"/>
      <c r="BL145" s="349"/>
      <c r="BM145" s="349"/>
      <c r="BN145" s="349"/>
      <c r="BS145" s="8"/>
      <c r="BU145" s="8"/>
      <c r="BV145" s="8"/>
      <c r="BW145" s="8"/>
      <c r="BX145" s="8"/>
      <c r="BY145" s="8"/>
      <c r="BZ145" s="8"/>
      <c r="CA145" s="8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</row>
    <row r="146" spans="2:183" s="76" customFormat="1" ht="12" customHeight="1">
      <c r="B146" s="788" t="s">
        <v>322</v>
      </c>
      <c r="C146" s="788"/>
      <c r="D146" s="788"/>
      <c r="E146" s="788"/>
      <c r="F146" s="788"/>
      <c r="G146" s="788"/>
      <c r="H146" s="788"/>
      <c r="I146" s="788"/>
      <c r="J146" s="788"/>
      <c r="K146" s="788"/>
      <c r="L146" s="788"/>
      <c r="M146" s="788"/>
      <c r="N146" s="788"/>
      <c r="O146" s="788"/>
      <c r="P146" s="788"/>
      <c r="Q146" s="788"/>
      <c r="R146" s="788"/>
      <c r="S146" s="788"/>
      <c r="T146" s="788"/>
      <c r="U146" s="788"/>
      <c r="V146" s="788"/>
      <c r="W146" s="788"/>
      <c r="X146" s="788"/>
      <c r="Y146" s="788"/>
      <c r="Z146" s="788"/>
      <c r="AA146" s="788"/>
      <c r="AB146" s="788"/>
      <c r="AC146" s="788"/>
      <c r="AD146" s="788"/>
      <c r="AE146" s="788"/>
      <c r="AF146" s="788"/>
      <c r="AG146" s="788"/>
      <c r="AH146" s="788"/>
      <c r="AI146" s="788"/>
      <c r="AJ146" s="788"/>
      <c r="AK146" s="788"/>
      <c r="AL146" s="788"/>
      <c r="AM146" s="788"/>
      <c r="AN146" s="788"/>
      <c r="AO146" s="788"/>
      <c r="AP146" s="788"/>
      <c r="AQ146" s="179"/>
      <c r="AR146" s="180"/>
      <c r="AS146" s="180"/>
      <c r="AT146" s="80"/>
      <c r="AU146" s="80"/>
      <c r="AV146" s="183">
        <v>2.84</v>
      </c>
      <c r="AW146" s="185">
        <f t="shared" si="13"/>
        <v>0.18309859154929578</v>
      </c>
      <c r="AX146" s="201">
        <f t="shared" si="11"/>
        <v>0.18309859154929578</v>
      </c>
      <c r="AY146" s="187">
        <v>1.42</v>
      </c>
      <c r="AZ146" s="189">
        <f t="shared" si="14"/>
        <v>0.26568187252583758</v>
      </c>
      <c r="BA146" s="202">
        <f t="shared" si="12"/>
        <v>0.26568187252583758</v>
      </c>
      <c r="BB146" s="202">
        <f t="shared" si="15"/>
        <v>1.3</v>
      </c>
      <c r="BC146" s="181"/>
      <c r="BD146" s="349"/>
      <c r="BE146" s="349"/>
      <c r="BF146" s="349"/>
      <c r="BG146" s="349"/>
      <c r="BH146" s="349"/>
      <c r="BI146" s="349"/>
      <c r="BJ146" s="349"/>
      <c r="BK146" s="349"/>
      <c r="BL146" s="349"/>
      <c r="BM146" s="349"/>
      <c r="BN146" s="349"/>
      <c r="BS146" s="8"/>
      <c r="BU146" s="8"/>
      <c r="BV146" s="8"/>
      <c r="BW146" s="8"/>
      <c r="BX146" s="8"/>
      <c r="BY146" s="8"/>
      <c r="BZ146" s="8"/>
      <c r="CA146" s="8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</row>
    <row r="147" spans="2:183" s="76" customFormat="1" ht="12" customHeight="1" thickBot="1">
      <c r="B147" s="621"/>
      <c r="C147" s="621"/>
      <c r="D147" s="621"/>
      <c r="E147" s="621"/>
      <c r="F147" s="621"/>
      <c r="G147" s="621"/>
      <c r="H147" s="621"/>
      <c r="I147" s="621"/>
      <c r="J147" s="621"/>
      <c r="K147" s="621"/>
      <c r="L147" s="621"/>
      <c r="M147" s="621"/>
      <c r="N147" s="621"/>
      <c r="O147" s="621"/>
      <c r="P147" s="621"/>
      <c r="Q147" s="621"/>
      <c r="R147" s="621"/>
      <c r="S147" s="621"/>
      <c r="T147" s="621"/>
      <c r="U147" s="621"/>
      <c r="V147" s="621"/>
      <c r="W147" s="621"/>
      <c r="X147" s="621"/>
      <c r="Y147" s="621"/>
      <c r="Z147" s="621"/>
      <c r="AA147" s="621"/>
      <c r="AB147" s="621"/>
      <c r="AC147" s="621"/>
      <c r="AD147" s="621"/>
      <c r="AE147" s="621"/>
      <c r="AF147" s="621"/>
      <c r="AG147" s="621"/>
      <c r="AH147" s="621"/>
      <c r="AI147" s="621"/>
      <c r="AJ147" s="621"/>
      <c r="AK147" s="621"/>
      <c r="AL147" s="621"/>
      <c r="AM147" s="621"/>
      <c r="AN147" s="621"/>
      <c r="AO147" s="621"/>
      <c r="AP147" s="621"/>
      <c r="AQ147" s="179"/>
      <c r="AR147" s="180"/>
      <c r="AS147" s="180"/>
      <c r="AT147" s="80"/>
      <c r="AU147" s="80"/>
      <c r="AV147" s="183">
        <v>2.86</v>
      </c>
      <c r="AW147" s="185">
        <f t="shared" si="13"/>
        <v>0.18181818181818182</v>
      </c>
      <c r="AX147" s="201">
        <f t="shared" si="11"/>
        <v>0.18181818181818182</v>
      </c>
      <c r="AY147" s="187">
        <v>1.43</v>
      </c>
      <c r="AZ147" s="189">
        <f t="shared" si="14"/>
        <v>0.26568187252583758</v>
      </c>
      <c r="BA147" s="202">
        <f t="shared" si="12"/>
        <v>0.26568187252583758</v>
      </c>
      <c r="BB147" s="202">
        <f t="shared" si="15"/>
        <v>1.3</v>
      </c>
      <c r="BC147" s="181"/>
      <c r="BD147" s="349"/>
      <c r="BE147" s="349"/>
      <c r="BF147" s="349"/>
      <c r="BG147" s="349"/>
      <c r="BH147" s="349"/>
      <c r="BI147" s="349"/>
      <c r="BJ147" s="349"/>
      <c r="BK147" s="349"/>
      <c r="BL147" s="349"/>
      <c r="BM147" s="349"/>
      <c r="BN147" s="349"/>
      <c r="BS147" s="8"/>
      <c r="BU147" s="8"/>
      <c r="BV147" s="8"/>
      <c r="BW147" s="8"/>
      <c r="BX147" s="8"/>
      <c r="BY147" s="8"/>
      <c r="BZ147" s="8"/>
      <c r="CA147" s="8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</row>
    <row r="148" spans="2:183" s="76" customFormat="1" ht="12" customHeight="1">
      <c r="B148" s="688" t="s">
        <v>199</v>
      </c>
      <c r="C148" s="688"/>
      <c r="D148" s="686" t="s">
        <v>231</v>
      </c>
      <c r="E148" s="686"/>
      <c r="F148" s="686"/>
      <c r="G148" s="686"/>
      <c r="H148" s="686"/>
      <c r="I148" s="686"/>
      <c r="J148" s="686"/>
      <c r="K148" s="686"/>
      <c r="L148" s="686"/>
      <c r="M148" s="686"/>
      <c r="N148" s="686"/>
      <c r="O148" s="686"/>
      <c r="P148" s="686"/>
      <c r="Q148" s="686"/>
      <c r="R148" s="686"/>
      <c r="S148" s="686"/>
      <c r="T148" s="686"/>
      <c r="U148" s="686"/>
      <c r="V148" s="686"/>
      <c r="W148" s="686"/>
      <c r="X148" s="686"/>
      <c r="Y148" s="19"/>
      <c r="Z148" s="19"/>
      <c r="AA148" s="19"/>
      <c r="AB148" s="21"/>
      <c r="AC148" s="231"/>
      <c r="AD148" s="231"/>
      <c r="AE148" s="239"/>
      <c r="AF148" s="239"/>
      <c r="AG148" s="239"/>
      <c r="AH148" s="30"/>
      <c r="AI148" s="30"/>
      <c r="AJ148" s="30"/>
      <c r="AK148" s="231"/>
      <c r="AL148" s="231"/>
      <c r="AM148" s="19"/>
      <c r="AN148" s="19"/>
      <c r="AO148" s="19"/>
      <c r="AP148" s="367"/>
      <c r="AQ148" s="179"/>
      <c r="AR148" s="180"/>
      <c r="AS148" s="180"/>
      <c r="AT148" s="80"/>
      <c r="AU148" s="80"/>
      <c r="AV148" s="183">
        <v>2.88</v>
      </c>
      <c r="AW148" s="185">
        <f t="shared" si="13"/>
        <v>0.18055555555555558</v>
      </c>
      <c r="AX148" s="201">
        <f t="shared" si="11"/>
        <v>0.18055555555555558</v>
      </c>
      <c r="AY148" s="187">
        <v>1.44</v>
      </c>
      <c r="AZ148" s="189">
        <f t="shared" si="14"/>
        <v>0.26568187252583758</v>
      </c>
      <c r="BA148" s="202">
        <f t="shared" si="12"/>
        <v>0.26568187252583758</v>
      </c>
      <c r="BB148" s="202">
        <f t="shared" si="15"/>
        <v>1.3</v>
      </c>
      <c r="BC148" s="181"/>
      <c r="BD148" s="349"/>
      <c r="BE148" s="349"/>
      <c r="BF148" s="349"/>
      <c r="BG148" s="349"/>
      <c r="BH148" s="349"/>
      <c r="BI148" s="349"/>
      <c r="BJ148" s="349"/>
      <c r="BK148" s="349"/>
      <c r="BL148" s="349"/>
      <c r="BM148" s="349"/>
      <c r="BN148" s="349"/>
      <c r="BS148" s="8"/>
      <c r="BU148" s="8"/>
      <c r="BV148" s="8"/>
      <c r="BW148" s="8"/>
      <c r="BX148" s="8"/>
      <c r="BY148" s="8"/>
      <c r="BZ148" s="8"/>
      <c r="CA148" s="8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</row>
    <row r="149" spans="2:183" s="76" customFormat="1" ht="12" customHeight="1">
      <c r="B149" s="688"/>
      <c r="C149" s="688"/>
      <c r="D149" s="686"/>
      <c r="E149" s="686"/>
      <c r="F149" s="686"/>
      <c r="G149" s="686"/>
      <c r="H149" s="686"/>
      <c r="I149" s="686"/>
      <c r="J149" s="686"/>
      <c r="K149" s="686"/>
      <c r="L149" s="686"/>
      <c r="M149" s="686"/>
      <c r="N149" s="686"/>
      <c r="O149" s="686"/>
      <c r="P149" s="686"/>
      <c r="Q149" s="686"/>
      <c r="R149" s="686"/>
      <c r="S149" s="686"/>
      <c r="T149" s="686"/>
      <c r="U149" s="686"/>
      <c r="V149" s="686"/>
      <c r="W149" s="686"/>
      <c r="X149" s="686"/>
      <c r="Y149" s="19"/>
      <c r="Z149" s="19"/>
      <c r="AA149" s="19"/>
      <c r="AB149" s="21"/>
      <c r="AC149" s="231"/>
      <c r="AD149" s="231"/>
      <c r="AE149" s="239"/>
      <c r="AF149" s="239"/>
      <c r="AG149" s="239"/>
      <c r="AH149" s="30"/>
      <c r="AI149" s="30"/>
      <c r="AJ149" s="30"/>
      <c r="AK149" s="231"/>
      <c r="AL149" s="231"/>
      <c r="AM149" s="19"/>
      <c r="AN149" s="19"/>
      <c r="AO149" s="19"/>
      <c r="AP149" s="367"/>
      <c r="AQ149" s="179"/>
      <c r="AR149" s="199"/>
      <c r="AS149" s="180"/>
      <c r="AT149" s="80"/>
      <c r="AU149" s="80"/>
      <c r="AV149" s="183">
        <v>2.9</v>
      </c>
      <c r="AW149" s="185">
        <f t="shared" si="13"/>
        <v>0.17931034482758623</v>
      </c>
      <c r="AX149" s="201">
        <f t="shared" si="11"/>
        <v>0.17931034482758623</v>
      </c>
      <c r="AY149" s="187">
        <v>1.45</v>
      </c>
      <c r="AZ149" s="189">
        <f t="shared" si="14"/>
        <v>0.26568187252583758</v>
      </c>
      <c r="BA149" s="202">
        <f t="shared" si="12"/>
        <v>0.26568187252583758</v>
      </c>
      <c r="BB149" s="202">
        <f t="shared" si="15"/>
        <v>1.3</v>
      </c>
      <c r="BC149" s="181"/>
      <c r="BD149" s="349"/>
      <c r="BE149" s="349"/>
      <c r="BF149" s="349"/>
      <c r="BG149" s="349"/>
      <c r="BH149" s="349"/>
      <c r="BI149" s="349"/>
      <c r="BJ149" s="349"/>
      <c r="BK149" s="349"/>
      <c r="BL149" s="349"/>
      <c r="BM149" s="349"/>
      <c r="BN149" s="349"/>
      <c r="BS149" s="8"/>
      <c r="BU149" s="8"/>
      <c r="BV149" s="8"/>
      <c r="BW149" s="8"/>
      <c r="BX149" s="8"/>
      <c r="BY149" s="8"/>
      <c r="BZ149" s="8"/>
      <c r="CA149" s="8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</row>
    <row r="150" spans="2:183" s="76" customFormat="1" ht="12" customHeight="1">
      <c r="B150" s="223"/>
      <c r="C150" s="223"/>
      <c r="D150" s="700" t="str">
        <f>IF(AK26&lt;0.6,"طبق بند۴-۱۲-۳ نیازی به در نظر گرفتن ضریب زلزله حداقل نیست",("C(min) = "&amp;ROUND(AB130,4)))</f>
        <v>C(min) = 0.0667</v>
      </c>
      <c r="E150" s="700"/>
      <c r="F150" s="700"/>
      <c r="G150" s="700"/>
      <c r="H150" s="700"/>
      <c r="I150" s="700"/>
      <c r="J150" s="700"/>
      <c r="K150" s="700"/>
      <c r="L150" s="700"/>
      <c r="M150" s="700"/>
      <c r="N150" s="700"/>
      <c r="O150" s="700"/>
      <c r="P150" s="700"/>
      <c r="Q150" s="700"/>
      <c r="R150" s="700"/>
      <c r="S150" s="700"/>
      <c r="T150" s="700"/>
      <c r="U150" s="700"/>
      <c r="V150" s="697" t="str">
        <f>IF(AK26&lt;0.6,"&lt; 0.6","≥ 0.6")</f>
        <v>≥ 0.6</v>
      </c>
      <c r="W150" s="697"/>
      <c r="X150" s="697"/>
      <c r="Y150" s="19"/>
      <c r="AA150" s="252"/>
      <c r="AB150" s="699">
        <f>IF(AND(OR(AK150&gt;0,AK150=0),OR(AK150&lt;AQ$96,AK150=AQ$96)),(AQ$92*(0.4+(0.6*AK150/AQ$96))),IF(AND(AK150&gt;AQ$96,OR(AK150&lt;AQ$98,AK150=AQ$98)),AQ$92,IF(AND(AK150&gt;AQ$98,AK150&lt;AQ$100),(AQ$94/AK150),IF(OR(AK150&gt;AQ$100,AK150=AQ$100),(AQ$94*AQ$100/(AK150*AK150)),"Error"))))</f>
        <v>0.52</v>
      </c>
      <c r="AC150" s="699"/>
      <c r="AD150" s="699"/>
      <c r="AF150" s="239"/>
      <c r="AG150" s="239"/>
      <c r="AI150" s="698" t="s">
        <v>219</v>
      </c>
      <c r="AJ150" s="698"/>
      <c r="AK150" s="699">
        <f>AK43</f>
        <v>1</v>
      </c>
      <c r="AL150" s="699"/>
      <c r="AM150" s="699"/>
      <c r="AN150" s="19"/>
      <c r="AO150" s="19"/>
      <c r="AP150" s="367"/>
      <c r="AQ150" s="179"/>
      <c r="AR150" s="180"/>
      <c r="AS150" s="180"/>
      <c r="AT150" s="80"/>
      <c r="AU150" s="80"/>
      <c r="AV150" s="183">
        <v>2.92</v>
      </c>
      <c r="AW150" s="185">
        <f t="shared" si="13"/>
        <v>0.17808219178082194</v>
      </c>
      <c r="AX150" s="201">
        <f t="shared" si="11"/>
        <v>0.17808219178082194</v>
      </c>
      <c r="AY150" s="187">
        <v>1.46</v>
      </c>
      <c r="AZ150" s="189">
        <f t="shared" si="14"/>
        <v>0.26568187252583758</v>
      </c>
      <c r="BA150" s="202">
        <f t="shared" si="12"/>
        <v>0.26568187252583758</v>
      </c>
      <c r="BB150" s="202">
        <f t="shared" si="15"/>
        <v>1.3</v>
      </c>
      <c r="BC150" s="181"/>
      <c r="BD150" s="349"/>
      <c r="BE150" s="349"/>
      <c r="BF150" s="349"/>
      <c r="BG150" s="349"/>
      <c r="BH150" s="349"/>
      <c r="BI150" s="349"/>
      <c r="BJ150" s="349"/>
      <c r="BK150" s="349"/>
      <c r="BL150" s="349"/>
      <c r="BM150" s="349"/>
      <c r="BN150" s="349"/>
      <c r="BS150" s="8"/>
      <c r="BU150" s="8"/>
      <c r="BV150" s="8"/>
      <c r="BW150" s="8"/>
      <c r="BX150" s="8"/>
      <c r="BY150" s="8"/>
      <c r="BZ150" s="8"/>
      <c r="CA150" s="8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</row>
    <row r="151" spans="2:183" s="76" customFormat="1" ht="12" customHeight="1">
      <c r="B151" s="223"/>
      <c r="C151" s="223"/>
      <c r="D151" s="700"/>
      <c r="E151" s="700"/>
      <c r="F151" s="700"/>
      <c r="G151" s="700"/>
      <c r="H151" s="700"/>
      <c r="I151" s="700"/>
      <c r="J151" s="700"/>
      <c r="K151" s="700"/>
      <c r="L151" s="700"/>
      <c r="M151" s="700"/>
      <c r="N151" s="700"/>
      <c r="O151" s="700"/>
      <c r="P151" s="700"/>
      <c r="Q151" s="700"/>
      <c r="R151" s="700"/>
      <c r="S151" s="700"/>
      <c r="T151" s="700"/>
      <c r="U151" s="700"/>
      <c r="V151" s="697"/>
      <c r="W151" s="697"/>
      <c r="X151" s="697"/>
      <c r="Y151" s="19"/>
      <c r="Z151" s="252"/>
      <c r="AA151" s="252"/>
      <c r="AB151" s="699"/>
      <c r="AC151" s="699"/>
      <c r="AD151" s="699"/>
      <c r="AF151" s="239"/>
      <c r="AG151" s="239"/>
      <c r="AH151" s="258"/>
      <c r="AI151" s="698"/>
      <c r="AJ151" s="698"/>
      <c r="AK151" s="699"/>
      <c r="AL151" s="699"/>
      <c r="AM151" s="699"/>
      <c r="AN151" s="19"/>
      <c r="AO151" s="19"/>
      <c r="AP151" s="367"/>
      <c r="AQ151" s="179"/>
      <c r="AR151" s="180"/>
      <c r="AS151" s="180"/>
      <c r="AT151" s="80"/>
      <c r="AU151" s="80"/>
      <c r="AV151" s="183">
        <v>2.94</v>
      </c>
      <c r="AW151" s="185">
        <f t="shared" si="13"/>
        <v>0.17687074829931973</v>
      </c>
      <c r="AX151" s="201">
        <f t="shared" si="11"/>
        <v>0.17687074829931973</v>
      </c>
      <c r="AY151" s="187">
        <v>1.47</v>
      </c>
      <c r="AZ151" s="189">
        <f t="shared" si="14"/>
        <v>0.26568187252583758</v>
      </c>
      <c r="BA151" s="202">
        <f t="shared" si="12"/>
        <v>0.26568187252583758</v>
      </c>
      <c r="BB151" s="202">
        <f t="shared" si="15"/>
        <v>1.3</v>
      </c>
      <c r="BC151" s="181"/>
      <c r="BD151" s="349"/>
      <c r="BE151" s="349"/>
      <c r="BF151" s="349"/>
      <c r="BG151" s="349"/>
      <c r="BH151" s="349"/>
      <c r="BI151" s="349"/>
      <c r="BJ151" s="349"/>
      <c r="BK151" s="349"/>
      <c r="BL151" s="349"/>
      <c r="BM151" s="349"/>
      <c r="BN151" s="349"/>
      <c r="BS151" s="8"/>
      <c r="BU151" s="8"/>
      <c r="BV151" s="8"/>
      <c r="BW151" s="8"/>
      <c r="BX151" s="8"/>
      <c r="BY151" s="8"/>
      <c r="BZ151" s="8"/>
      <c r="CA151" s="8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</row>
    <row r="152" spans="2:183" s="76" customFormat="1" ht="12" customHeight="1">
      <c r="B152" s="223"/>
      <c r="C152" s="223"/>
      <c r="D152" s="716">
        <f>MIN(2,MAX(1,((0.5*AK43)+0.75)))</f>
        <v>1.25</v>
      </c>
      <c r="E152" s="716"/>
      <c r="F152" s="238"/>
      <c r="G152" s="238"/>
      <c r="J152" s="238"/>
      <c r="K152" s="238"/>
      <c r="L152" s="238"/>
      <c r="M152" s="238"/>
      <c r="N152" s="683" t="str">
        <f>IF(AND(OR(AK26&gt;0.6,AK26=0.6),Q152&lt;AB130),"û","")</f>
        <v/>
      </c>
      <c r="O152" s="683"/>
      <c r="Q152" s="687">
        <f>AQ32*AF152</f>
        <v>0.11555555555555556</v>
      </c>
      <c r="R152" s="687"/>
      <c r="S152" s="687"/>
      <c r="T152" s="687"/>
      <c r="U152" s="249"/>
      <c r="V152" s="257"/>
      <c r="W152" s="257"/>
      <c r="X152" s="257"/>
      <c r="Y152" s="19"/>
      <c r="Z152" s="19"/>
      <c r="AA152" s="19"/>
      <c r="AB152" s="21"/>
      <c r="AD152" s="683" t="str">
        <f>IF(AND(OR(AK26&gt;0.6,AK26=0.6),AF152&lt;AB130),"û","")</f>
        <v/>
      </c>
      <c r="AE152" s="683"/>
      <c r="AF152" s="687">
        <f>AB150/(AQ40/AM106)</f>
        <v>0.11555555555555556</v>
      </c>
      <c r="AG152" s="687"/>
      <c r="AH152" s="687"/>
      <c r="AI152" s="687"/>
      <c r="AJ152" s="249"/>
      <c r="AK152" s="257"/>
      <c r="AL152" s="257"/>
      <c r="AM152" s="257"/>
      <c r="AN152" s="19"/>
      <c r="AO152" s="19"/>
      <c r="AP152" s="367"/>
      <c r="AQ152" s="179"/>
      <c r="AR152" s="180"/>
      <c r="AS152" s="180"/>
      <c r="AT152" s="80"/>
      <c r="AU152" s="80"/>
      <c r="AV152" s="183">
        <v>2.96</v>
      </c>
      <c r="AW152" s="185">
        <f t="shared" si="13"/>
        <v>0.17567567567567569</v>
      </c>
      <c r="AX152" s="201">
        <f t="shared" si="11"/>
        <v>0.17567567567567569</v>
      </c>
      <c r="AY152" s="187">
        <v>1.48</v>
      </c>
      <c r="AZ152" s="189">
        <f t="shared" si="14"/>
        <v>0.26568187252583758</v>
      </c>
      <c r="BA152" s="202">
        <f t="shared" si="12"/>
        <v>0.26568187252583758</v>
      </c>
      <c r="BB152" s="202">
        <f t="shared" si="15"/>
        <v>1.3</v>
      </c>
      <c r="BC152" s="181"/>
      <c r="BD152" s="349"/>
      <c r="BE152" s="349"/>
      <c r="BF152" s="349"/>
      <c r="BG152" s="349"/>
      <c r="BH152" s="349"/>
      <c r="BI152" s="349"/>
      <c r="BJ152" s="349"/>
      <c r="BK152" s="349"/>
      <c r="BL152" s="349"/>
      <c r="BM152" s="349"/>
      <c r="BN152" s="349"/>
      <c r="BS152" s="8"/>
      <c r="BU152" s="8"/>
      <c r="BV152" s="8"/>
      <c r="BW152" s="8"/>
      <c r="BX152" s="8"/>
      <c r="BY152" s="8"/>
      <c r="BZ152" s="8"/>
      <c r="CA152" s="8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</row>
    <row r="153" spans="2:183" s="76" customFormat="1" ht="12" customHeight="1">
      <c r="B153" s="223"/>
      <c r="C153" s="223"/>
      <c r="D153" s="716"/>
      <c r="E153" s="716"/>
      <c r="F153" s="238"/>
      <c r="G153" s="238"/>
      <c r="J153" s="238"/>
      <c r="K153" s="238"/>
      <c r="L153" s="238"/>
      <c r="M153" s="238"/>
      <c r="N153" s="683"/>
      <c r="O153" s="683"/>
      <c r="P153" s="245"/>
      <c r="Q153" s="687"/>
      <c r="R153" s="687"/>
      <c r="S153" s="687"/>
      <c r="T153" s="687"/>
      <c r="U153" s="249"/>
      <c r="V153" s="257"/>
      <c r="W153" s="257"/>
      <c r="X153" s="257"/>
      <c r="Y153" s="19"/>
      <c r="Z153" s="19"/>
      <c r="AA153" s="19"/>
      <c r="AB153" s="21"/>
      <c r="AC153" s="259"/>
      <c r="AD153" s="683"/>
      <c r="AE153" s="683"/>
      <c r="AF153" s="687"/>
      <c r="AG153" s="687"/>
      <c r="AH153" s="687"/>
      <c r="AI153" s="687"/>
      <c r="AJ153" s="249"/>
      <c r="AK153" s="257"/>
      <c r="AL153" s="257"/>
      <c r="AM153" s="257"/>
      <c r="AN153" s="19"/>
      <c r="AO153" s="19"/>
      <c r="AP153" s="367"/>
      <c r="AQ153" s="179"/>
      <c r="AR153" s="180"/>
      <c r="AS153" s="180"/>
      <c r="AT153" s="80"/>
      <c r="AU153" s="80"/>
      <c r="AV153" s="183">
        <v>2.98</v>
      </c>
      <c r="AW153" s="185">
        <f t="shared" si="13"/>
        <v>0.17449664429530201</v>
      </c>
      <c r="AX153" s="201">
        <f t="shared" si="11"/>
        <v>0.17449664429530201</v>
      </c>
      <c r="AY153" s="187">
        <v>1.49</v>
      </c>
      <c r="AZ153" s="189">
        <f t="shared" si="14"/>
        <v>0.26568187252583758</v>
      </c>
      <c r="BA153" s="202">
        <f t="shared" si="12"/>
        <v>0.26568187252583758</v>
      </c>
      <c r="BB153" s="202">
        <f t="shared" si="15"/>
        <v>1.3</v>
      </c>
      <c r="BC153" s="181"/>
      <c r="BD153" s="349"/>
      <c r="BE153" s="349"/>
      <c r="BF153" s="349"/>
      <c r="BG153" s="349"/>
      <c r="BH153" s="349"/>
      <c r="BI153" s="349"/>
      <c r="BJ153" s="349"/>
      <c r="BK153" s="349"/>
      <c r="BL153" s="349"/>
      <c r="BM153" s="349"/>
      <c r="BN153" s="349"/>
      <c r="BS153" s="8"/>
      <c r="BU153" s="8"/>
      <c r="BV153" s="8"/>
      <c r="BW153" s="8"/>
      <c r="BX153" s="8"/>
      <c r="BY153" s="8"/>
      <c r="BZ153" s="8"/>
      <c r="CA153" s="8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</row>
    <row r="154" spans="2:183" s="76" customFormat="1" ht="12" customHeight="1">
      <c r="B154" s="223"/>
      <c r="C154" s="223"/>
      <c r="D154" s="260"/>
      <c r="E154" s="684" t="str">
        <f>IF(AND(OR(AK26&gt;0.6,AK26=0.6),AF152&lt;AB130),"!  هشدار  !","")</f>
        <v/>
      </c>
      <c r="F154" s="684"/>
      <c r="G154" s="684"/>
      <c r="H154" s="684"/>
      <c r="I154" s="710" t="str">
        <f>IF(AND(Y32=CJ5,OR(AK26&gt;0.6,AK26=0.6),AF152&lt;AB130),"ضریب زلزله کنترل تغییرمکان جانبی کمتر از ضریب زلزله حداقل است.",IF(AND(Y32=CJ6,OR(AK26&gt;0.6,AK26=0.6),AF152&lt;AB130,OR(Q152&gt;AB130,Q152=AB130)),"ضریب زلزله کنترل تغییرمکان جانبی بدون اعمال ضریب نامعینی کمتر از ضریب زلزله حداقل است.",IF(AND(Y32=CJ6,OR(AK26&gt;0.6,AK26=0.6),AF152&lt;AB130,Q152&lt;AB130),"ضریب زلزله تغییرمکان جانبی با و بدون اعمال ضریب نامعینی کمتر از ضریب زلزله حداقل هست","")))</f>
        <v/>
      </c>
      <c r="J154" s="710"/>
      <c r="K154" s="710"/>
      <c r="L154" s="710"/>
      <c r="M154" s="710"/>
      <c r="N154" s="710"/>
      <c r="O154" s="710"/>
      <c r="P154" s="710"/>
      <c r="Q154" s="710"/>
      <c r="R154" s="710"/>
      <c r="S154" s="710"/>
      <c r="T154" s="710"/>
      <c r="U154" s="710"/>
      <c r="V154" s="710"/>
      <c r="W154" s="710"/>
      <c r="X154" s="710"/>
      <c r="Y154" s="710"/>
      <c r="Z154" s="710"/>
      <c r="AA154" s="710"/>
      <c r="AB154" s="710"/>
      <c r="AC154" s="710"/>
      <c r="AD154" s="710"/>
      <c r="AE154" s="710"/>
      <c r="AF154" s="710"/>
      <c r="AG154" s="710"/>
      <c r="AH154" s="710"/>
      <c r="AI154" s="710"/>
      <c r="AJ154" s="710"/>
      <c r="AK154" s="710"/>
      <c r="AL154" s="684" t="str">
        <f>IF(AND(OR(AK26&gt;0.6,AK26=0.6),AF152&lt;AB130),"!  هشدار  !","")</f>
        <v/>
      </c>
      <c r="AM154" s="684"/>
      <c r="AN154" s="684"/>
      <c r="AO154" s="684"/>
      <c r="AP154" s="370"/>
      <c r="AQ154" s="179"/>
      <c r="AR154" s="180"/>
      <c r="AS154" s="180"/>
      <c r="AT154" s="80"/>
      <c r="AU154" s="80"/>
      <c r="AV154" s="183">
        <v>3</v>
      </c>
      <c r="AW154" s="185">
        <f t="shared" si="13"/>
        <v>0.17333333333333334</v>
      </c>
      <c r="AX154" s="201">
        <f t="shared" si="11"/>
        <v>0.17333333333333334</v>
      </c>
      <c r="AY154" s="187">
        <v>1.5</v>
      </c>
      <c r="AZ154" s="189">
        <f t="shared" si="14"/>
        <v>0.26568187252583758</v>
      </c>
      <c r="BA154" s="202">
        <f t="shared" si="12"/>
        <v>0.26568187252583758</v>
      </c>
      <c r="BB154" s="202">
        <f t="shared" si="15"/>
        <v>1.3</v>
      </c>
      <c r="BC154" s="181"/>
      <c r="BD154" s="349"/>
      <c r="BE154" s="349"/>
      <c r="BF154" s="349"/>
      <c r="BG154" s="349"/>
      <c r="BH154" s="349"/>
      <c r="BI154" s="349"/>
      <c r="BJ154" s="349"/>
      <c r="BK154" s="349"/>
      <c r="BL154" s="349"/>
      <c r="BM154" s="349"/>
      <c r="BN154" s="349"/>
      <c r="BS154" s="8"/>
      <c r="BU154" s="8"/>
      <c r="BV154" s="8"/>
      <c r="BW154" s="8"/>
      <c r="BX154" s="8"/>
      <c r="BY154" s="8"/>
      <c r="BZ154" s="8"/>
      <c r="CA154" s="8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</row>
    <row r="155" spans="2:183" s="76" customFormat="1" ht="12" customHeight="1">
      <c r="B155" s="223"/>
      <c r="C155" s="223"/>
      <c r="D155" s="260"/>
      <c r="E155" s="684"/>
      <c r="F155" s="684"/>
      <c r="G155" s="684"/>
      <c r="H155" s="684"/>
      <c r="I155" s="710"/>
      <c r="J155" s="710"/>
      <c r="K155" s="710"/>
      <c r="L155" s="710"/>
      <c r="M155" s="710"/>
      <c r="N155" s="710"/>
      <c r="O155" s="710"/>
      <c r="P155" s="710"/>
      <c r="Q155" s="710"/>
      <c r="R155" s="710"/>
      <c r="S155" s="710"/>
      <c r="T155" s="710"/>
      <c r="U155" s="710"/>
      <c r="V155" s="710"/>
      <c r="W155" s="710"/>
      <c r="X155" s="710"/>
      <c r="Y155" s="710"/>
      <c r="Z155" s="710"/>
      <c r="AA155" s="710"/>
      <c r="AB155" s="710"/>
      <c r="AC155" s="710"/>
      <c r="AD155" s="710"/>
      <c r="AE155" s="710"/>
      <c r="AF155" s="710"/>
      <c r="AG155" s="710"/>
      <c r="AH155" s="710"/>
      <c r="AI155" s="710"/>
      <c r="AJ155" s="710"/>
      <c r="AK155" s="710"/>
      <c r="AL155" s="684"/>
      <c r="AM155" s="684"/>
      <c r="AN155" s="684"/>
      <c r="AO155" s="684"/>
      <c r="AP155" s="370"/>
      <c r="AQ155" s="179"/>
      <c r="AR155" s="180"/>
      <c r="AS155" s="180"/>
      <c r="AT155" s="80"/>
      <c r="AU155" s="80"/>
      <c r="AV155" s="183">
        <v>3.02</v>
      </c>
      <c r="AW155" s="185">
        <f t="shared" si="13"/>
        <v>0.17218543046357615</v>
      </c>
      <c r="AX155" s="201">
        <f t="shared" si="11"/>
        <v>0.17218543046357615</v>
      </c>
      <c r="AY155" s="187">
        <v>1.51</v>
      </c>
      <c r="AZ155" s="189">
        <f t="shared" si="14"/>
        <v>0.26568187252583758</v>
      </c>
      <c r="BA155" s="202">
        <f t="shared" si="12"/>
        <v>0.26568187252583758</v>
      </c>
      <c r="BB155" s="202">
        <f t="shared" si="15"/>
        <v>1.3</v>
      </c>
      <c r="BC155" s="181"/>
      <c r="BD155" s="349"/>
      <c r="BE155" s="349"/>
      <c r="BF155" s="349"/>
      <c r="BG155" s="349"/>
      <c r="BH155" s="349"/>
      <c r="BI155" s="349"/>
      <c r="BJ155" s="349"/>
      <c r="BK155" s="349"/>
      <c r="BL155" s="349"/>
      <c r="BM155" s="349"/>
      <c r="BN155" s="349"/>
      <c r="BS155" s="8"/>
      <c r="BU155" s="8"/>
      <c r="BV155" s="8"/>
      <c r="BW155" s="8"/>
      <c r="BX155" s="8"/>
      <c r="BY155" s="8"/>
      <c r="BZ155" s="8"/>
      <c r="CA155" s="8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</row>
    <row r="156" spans="2:183" s="76" customFormat="1" ht="12" customHeight="1">
      <c r="B156" s="688" t="s">
        <v>199</v>
      </c>
      <c r="C156" s="688"/>
      <c r="D156" s="686" t="s">
        <v>232</v>
      </c>
      <c r="E156" s="686"/>
      <c r="F156" s="686"/>
      <c r="G156" s="686"/>
      <c r="H156" s="686"/>
      <c r="I156" s="686"/>
      <c r="J156" s="686"/>
      <c r="K156" s="686"/>
      <c r="L156" s="686"/>
      <c r="M156" s="686"/>
      <c r="N156" s="686"/>
      <c r="O156" s="686"/>
      <c r="P156" s="686"/>
      <c r="Q156" s="686"/>
      <c r="R156" s="686"/>
      <c r="S156" s="686"/>
      <c r="T156" s="686"/>
      <c r="U156" s="686"/>
      <c r="V156" s="686"/>
      <c r="W156" s="686"/>
      <c r="X156" s="686"/>
      <c r="Y156" s="19"/>
      <c r="Z156" s="19"/>
      <c r="AA156" s="19"/>
      <c r="AB156" s="21"/>
      <c r="AC156" s="231"/>
      <c r="AD156" s="231"/>
      <c r="AE156" s="239"/>
      <c r="AF156" s="239"/>
      <c r="AG156" s="239"/>
      <c r="AH156" s="30"/>
      <c r="AI156" s="30"/>
      <c r="AJ156" s="30"/>
      <c r="AK156" s="231"/>
      <c r="AL156" s="231"/>
      <c r="AM156" s="19"/>
      <c r="AN156" s="19"/>
      <c r="AO156" s="19"/>
      <c r="AP156" s="367"/>
      <c r="AQ156" s="179"/>
      <c r="AR156" s="180"/>
      <c r="AS156" s="180"/>
      <c r="AT156" s="80"/>
      <c r="AU156" s="80"/>
      <c r="AV156" s="183">
        <v>3.04</v>
      </c>
      <c r="AW156" s="185">
        <f t="shared" si="13"/>
        <v>0.17105263157894737</v>
      </c>
      <c r="AX156" s="201">
        <f t="shared" si="11"/>
        <v>0.17105263157894737</v>
      </c>
      <c r="AY156" s="187">
        <v>1.52</v>
      </c>
      <c r="AZ156" s="189">
        <f t="shared" si="14"/>
        <v>0.26568187252583758</v>
      </c>
      <c r="BA156" s="202">
        <f t="shared" si="12"/>
        <v>0.26568187252583758</v>
      </c>
      <c r="BB156" s="202">
        <f t="shared" si="15"/>
        <v>1.3</v>
      </c>
      <c r="BC156" s="181"/>
      <c r="BD156" s="349"/>
      <c r="BE156" s="349"/>
      <c r="BF156" s="349"/>
      <c r="BG156" s="349"/>
      <c r="BH156" s="349"/>
      <c r="BI156" s="349"/>
      <c r="BJ156" s="349"/>
      <c r="BK156" s="349"/>
      <c r="BL156" s="349"/>
      <c r="BM156" s="349"/>
      <c r="BN156" s="349"/>
      <c r="BS156" s="8"/>
      <c r="BU156" s="8"/>
      <c r="BV156" s="8"/>
      <c r="BW156" s="8"/>
      <c r="BX156" s="8"/>
      <c r="BY156" s="8"/>
      <c r="BZ156" s="8"/>
      <c r="CA156" s="8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</row>
    <row r="157" spans="2:183" s="76" customFormat="1" ht="12" customHeight="1">
      <c r="B157" s="688"/>
      <c r="C157" s="688"/>
      <c r="D157" s="686"/>
      <c r="E157" s="686"/>
      <c r="F157" s="686"/>
      <c r="G157" s="686"/>
      <c r="H157" s="686"/>
      <c r="I157" s="686"/>
      <c r="J157" s="686"/>
      <c r="K157" s="686"/>
      <c r="L157" s="686"/>
      <c r="M157" s="686"/>
      <c r="N157" s="686"/>
      <c r="O157" s="686"/>
      <c r="P157" s="686"/>
      <c r="Q157" s="686"/>
      <c r="R157" s="686"/>
      <c r="S157" s="686"/>
      <c r="T157" s="686"/>
      <c r="U157" s="686"/>
      <c r="V157" s="686"/>
      <c r="W157" s="686"/>
      <c r="X157" s="686"/>
      <c r="Y157" s="19"/>
      <c r="Z157" s="19"/>
      <c r="AA157" s="19"/>
      <c r="AB157" s="21"/>
      <c r="AC157" s="231"/>
      <c r="AD157" s="231"/>
      <c r="AE157" s="239"/>
      <c r="AF157" s="239"/>
      <c r="AG157" s="239"/>
      <c r="AH157" s="30"/>
      <c r="AI157" s="30"/>
      <c r="AJ157" s="30"/>
      <c r="AK157" s="231"/>
      <c r="AL157" s="231"/>
      <c r="AM157" s="19"/>
      <c r="AN157" s="19"/>
      <c r="AO157" s="19"/>
      <c r="AP157" s="367"/>
      <c r="AQ157" s="179"/>
      <c r="AR157" s="180"/>
      <c r="AS157" s="180"/>
      <c r="AT157" s="80"/>
      <c r="AU157" s="80"/>
      <c r="AV157" s="183">
        <v>3.06</v>
      </c>
      <c r="AW157" s="185">
        <f t="shared" si="13"/>
        <v>0.16993464052287582</v>
      </c>
      <c r="AX157" s="201">
        <f t="shared" si="11"/>
        <v>0.16993464052287582</v>
      </c>
      <c r="AY157" s="187">
        <v>1.53</v>
      </c>
      <c r="AZ157" s="189">
        <f t="shared" si="14"/>
        <v>0.26568187252583758</v>
      </c>
      <c r="BA157" s="202">
        <f t="shared" si="12"/>
        <v>0.26568187252583758</v>
      </c>
      <c r="BB157" s="202">
        <f t="shared" si="15"/>
        <v>1.3</v>
      </c>
      <c r="BC157" s="181"/>
      <c r="BD157" s="349"/>
      <c r="BE157" s="349"/>
      <c r="BF157" s="349"/>
      <c r="BG157" s="349"/>
      <c r="BH157" s="349"/>
      <c r="BI157" s="349"/>
      <c r="BJ157" s="349"/>
      <c r="BK157" s="349"/>
      <c r="BL157" s="349"/>
      <c r="BM157" s="349"/>
      <c r="BN157" s="349"/>
      <c r="BS157" s="8"/>
      <c r="BU157" s="8"/>
      <c r="BV157" s="8"/>
      <c r="BW157" s="8"/>
      <c r="BX157" s="8"/>
      <c r="BY157" s="8"/>
      <c r="BZ157" s="8"/>
      <c r="CA157" s="8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</row>
    <row r="158" spans="2:183" s="76" customFormat="1" ht="12" customHeight="1">
      <c r="B158" s="223"/>
      <c r="C158" s="223"/>
      <c r="D158" s="700" t="str">
        <f>IF(AK26&lt;0.6,"طبق بند۴-۱۲-۳ نیازی به در نظر گرفتن ضریب زلزله حداقل نیست",("C(min) = "&amp;ROUND(AB130,4)))</f>
        <v>C(min) = 0.0667</v>
      </c>
      <c r="E158" s="700"/>
      <c r="F158" s="700"/>
      <c r="G158" s="700"/>
      <c r="H158" s="700"/>
      <c r="I158" s="700"/>
      <c r="J158" s="700"/>
      <c r="K158" s="700"/>
      <c r="L158" s="700"/>
      <c r="M158" s="700"/>
      <c r="N158" s="700"/>
      <c r="O158" s="700"/>
      <c r="P158" s="700"/>
      <c r="Q158" s="700"/>
      <c r="R158" s="700"/>
      <c r="S158" s="700"/>
      <c r="T158" s="700"/>
      <c r="U158" s="700"/>
      <c r="V158" s="697" t="str">
        <f>IF(AK26&lt;0.6,"&lt; 0.6","≥ 0.6")</f>
        <v>≥ 0.6</v>
      </c>
      <c r="W158" s="697"/>
      <c r="X158" s="697"/>
      <c r="Y158" s="19"/>
      <c r="AA158" s="252"/>
      <c r="AB158" s="699">
        <f>IF(AND(OR(AK158&gt;0,AK158=0),OR(AK158&lt;AQ$96,AK158=AQ$96)),(AQ$92*(0.4+(0.6*AK158/AQ$96))),IF(AND(AK158&gt;AQ$96,OR(AK158&lt;AQ$98,AK158=AQ$98)),AQ$92,IF(AND(AK158&gt;AQ$98,AK158&lt;AQ$100),(AQ$94/AK158),IF(OR(AK158&gt;AQ$100,AK158=AQ$100),(AQ$94*AQ$100/(AK158*AK158)),"Error"))))</f>
        <v>0.34666666666666668</v>
      </c>
      <c r="AC158" s="699"/>
      <c r="AD158" s="699"/>
      <c r="AF158" s="239"/>
      <c r="AG158" s="239"/>
      <c r="AI158" s="698" t="s">
        <v>219</v>
      </c>
      <c r="AJ158" s="698"/>
      <c r="AK158" s="699">
        <f>AA43</f>
        <v>1.5</v>
      </c>
      <c r="AL158" s="699"/>
      <c r="AM158" s="699"/>
      <c r="AN158" s="19"/>
      <c r="AO158" s="19"/>
      <c r="AP158" s="367"/>
      <c r="AQ158" s="179"/>
      <c r="AR158" s="180"/>
      <c r="AS158" s="180"/>
      <c r="AT158" s="80"/>
      <c r="AU158" s="80"/>
      <c r="AV158" s="183">
        <v>3.08</v>
      </c>
      <c r="AW158" s="185">
        <f t="shared" si="13"/>
        <v>0.16883116883116883</v>
      </c>
      <c r="AX158" s="201">
        <f t="shared" si="11"/>
        <v>0.16883116883116883</v>
      </c>
      <c r="AY158" s="187">
        <v>1.54</v>
      </c>
      <c r="AZ158" s="189">
        <f t="shared" si="14"/>
        <v>0.26568187252583758</v>
      </c>
      <c r="BA158" s="202">
        <f t="shared" si="12"/>
        <v>0.26568187252583758</v>
      </c>
      <c r="BB158" s="202">
        <f t="shared" si="15"/>
        <v>1.3</v>
      </c>
      <c r="BC158" s="181"/>
      <c r="BD158" s="349"/>
      <c r="BE158" s="349"/>
      <c r="BF158" s="349"/>
      <c r="BG158" s="349"/>
      <c r="BH158" s="349"/>
      <c r="BI158" s="349"/>
      <c r="BJ158" s="349"/>
      <c r="BK158" s="349"/>
      <c r="BL158" s="349"/>
      <c r="BM158" s="349"/>
      <c r="BN158" s="349"/>
      <c r="BS158" s="8"/>
      <c r="BU158" s="8"/>
      <c r="BV158" s="8"/>
      <c r="BW158" s="8"/>
      <c r="BX158" s="8"/>
      <c r="BY158" s="8"/>
      <c r="BZ158" s="8"/>
      <c r="CA158" s="8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</row>
    <row r="159" spans="2:183" s="76" customFormat="1" ht="12" customHeight="1">
      <c r="B159" s="223"/>
      <c r="C159" s="223"/>
      <c r="D159" s="700"/>
      <c r="E159" s="700"/>
      <c r="F159" s="700"/>
      <c r="G159" s="700"/>
      <c r="H159" s="700"/>
      <c r="I159" s="700"/>
      <c r="J159" s="700"/>
      <c r="K159" s="700"/>
      <c r="L159" s="700"/>
      <c r="M159" s="700"/>
      <c r="N159" s="700"/>
      <c r="O159" s="700"/>
      <c r="P159" s="700"/>
      <c r="Q159" s="700"/>
      <c r="R159" s="700"/>
      <c r="S159" s="700"/>
      <c r="T159" s="700"/>
      <c r="U159" s="700"/>
      <c r="V159" s="697"/>
      <c r="W159" s="697"/>
      <c r="X159" s="697"/>
      <c r="Y159" s="19"/>
      <c r="Z159" s="252"/>
      <c r="AA159" s="252"/>
      <c r="AB159" s="699"/>
      <c r="AC159" s="699"/>
      <c r="AD159" s="699"/>
      <c r="AF159" s="239"/>
      <c r="AG159" s="239"/>
      <c r="AH159" s="258"/>
      <c r="AI159" s="698"/>
      <c r="AJ159" s="698"/>
      <c r="AK159" s="699"/>
      <c r="AL159" s="699"/>
      <c r="AM159" s="699"/>
      <c r="AN159" s="19"/>
      <c r="AO159" s="19"/>
      <c r="AP159" s="367"/>
      <c r="AQ159" s="179"/>
      <c r="AR159" s="180"/>
      <c r="AS159" s="180"/>
      <c r="AT159" s="80"/>
      <c r="AU159" s="80"/>
      <c r="AV159" s="183">
        <v>3.1</v>
      </c>
      <c r="AW159" s="185">
        <f t="shared" si="13"/>
        <v>0.16774193548387098</v>
      </c>
      <c r="AX159" s="201">
        <f t="shared" si="11"/>
        <v>0.16774193548387098</v>
      </c>
      <c r="AY159" s="187">
        <v>1.55</v>
      </c>
      <c r="AZ159" s="189">
        <f t="shared" si="14"/>
        <v>0.26568187252583758</v>
      </c>
      <c r="BA159" s="202">
        <f t="shared" si="12"/>
        <v>0.26568187252583758</v>
      </c>
      <c r="BB159" s="202">
        <f t="shared" si="15"/>
        <v>1.3</v>
      </c>
      <c r="BC159" s="181"/>
      <c r="BD159" s="349"/>
      <c r="BE159" s="349"/>
      <c r="BF159" s="349"/>
      <c r="BG159" s="349"/>
      <c r="BH159" s="349"/>
      <c r="BI159" s="349"/>
      <c r="BJ159" s="349"/>
      <c r="BK159" s="349"/>
      <c r="BL159" s="349"/>
      <c r="BM159" s="349"/>
      <c r="BN159" s="349"/>
      <c r="BS159" s="8"/>
      <c r="BU159" s="8"/>
      <c r="BV159" s="8"/>
      <c r="BW159" s="8"/>
      <c r="BX159" s="8"/>
      <c r="BY159" s="8"/>
      <c r="BZ159" s="8"/>
      <c r="CA159" s="8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</row>
    <row r="160" spans="2:183" s="76" customFormat="1" ht="12" customHeight="1">
      <c r="B160" s="223"/>
      <c r="C160" s="223"/>
      <c r="D160" s="716">
        <f>MIN(2,MAX(1,((0.5*AA43)+0.75)))</f>
        <v>1.5</v>
      </c>
      <c r="E160" s="716"/>
      <c r="G160" s="238"/>
      <c r="H160" s="248"/>
      <c r="I160" s="248"/>
      <c r="J160" s="238"/>
      <c r="K160" s="238"/>
      <c r="L160" s="238"/>
      <c r="M160" s="238"/>
      <c r="N160" s="683" t="str">
        <f>IF(AND(OR(AK26&gt;0.6,AK26=0.6),P160&lt;AB130),"û","")</f>
        <v/>
      </c>
      <c r="O160" s="683"/>
      <c r="P160" s="687">
        <f>AQ32*AF160</f>
        <v>7.7037037037037043E-2</v>
      </c>
      <c r="Q160" s="687"/>
      <c r="R160" s="687"/>
      <c r="S160" s="687"/>
      <c r="T160" s="249"/>
      <c r="U160" s="257"/>
      <c r="V160" s="257"/>
      <c r="W160" s="257"/>
      <c r="X160" s="19"/>
      <c r="Y160" s="19"/>
      <c r="Z160" s="19"/>
      <c r="AA160" s="19"/>
      <c r="AB160" s="21"/>
      <c r="AC160" s="224"/>
      <c r="AD160" s="683" t="str">
        <f>IF(AND(OR(AK26&gt;0.6,AK26=0.6),AF160&lt;AB130),"û","")</f>
        <v/>
      </c>
      <c r="AE160" s="683"/>
      <c r="AF160" s="709">
        <f>AB158/(AQ40/AM106)</f>
        <v>7.7037037037037043E-2</v>
      </c>
      <c r="AG160" s="709"/>
      <c r="AH160" s="709"/>
      <c r="AI160" s="709"/>
      <c r="AJ160" s="249"/>
      <c r="AK160" s="257"/>
      <c r="AL160" s="257"/>
      <c r="AM160" s="257"/>
      <c r="AN160" s="19"/>
      <c r="AO160" s="19"/>
      <c r="AP160" s="367"/>
      <c r="AQ160" s="179"/>
      <c r="AR160" s="180"/>
      <c r="AS160" s="180"/>
      <c r="AT160" s="80"/>
      <c r="AU160" s="80"/>
      <c r="AV160" s="183">
        <v>3.12</v>
      </c>
      <c r="AW160" s="185">
        <f t="shared" si="13"/>
        <v>0.16666666666666666</v>
      </c>
      <c r="AX160" s="201">
        <f t="shared" si="11"/>
        <v>0.16666666666666666</v>
      </c>
      <c r="AY160" s="187">
        <v>1.56</v>
      </c>
      <c r="AZ160" s="189">
        <f t="shared" si="14"/>
        <v>0.26568187252583758</v>
      </c>
      <c r="BA160" s="202">
        <f t="shared" si="12"/>
        <v>0.26568187252583758</v>
      </c>
      <c r="BB160" s="202">
        <f t="shared" si="15"/>
        <v>1.3</v>
      </c>
      <c r="BC160" s="181"/>
      <c r="BD160" s="349"/>
      <c r="BE160" s="349"/>
      <c r="BF160" s="349"/>
      <c r="BG160" s="349"/>
      <c r="BH160" s="349"/>
      <c r="BI160" s="349"/>
      <c r="BJ160" s="349"/>
      <c r="BK160" s="349"/>
      <c r="BL160" s="349"/>
      <c r="BM160" s="349"/>
      <c r="BN160" s="349"/>
      <c r="BS160" s="8"/>
      <c r="BU160" s="8"/>
      <c r="BV160" s="8"/>
      <c r="BW160" s="8"/>
      <c r="BX160" s="8"/>
      <c r="BY160" s="8"/>
      <c r="BZ160" s="8"/>
      <c r="CA160" s="8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</row>
    <row r="161" spans="2:183" s="76" customFormat="1" ht="12" customHeight="1">
      <c r="B161" s="223"/>
      <c r="C161" s="223"/>
      <c r="D161" s="716"/>
      <c r="E161" s="716"/>
      <c r="G161" s="238"/>
      <c r="H161" s="248"/>
      <c r="I161" s="248"/>
      <c r="J161" s="238"/>
      <c r="K161" s="238"/>
      <c r="L161" s="238"/>
      <c r="M161" s="238"/>
      <c r="N161" s="683"/>
      <c r="O161" s="683"/>
      <c r="P161" s="687"/>
      <c r="Q161" s="687"/>
      <c r="R161" s="687"/>
      <c r="S161" s="687"/>
      <c r="T161" s="249"/>
      <c r="U161" s="257"/>
      <c r="V161" s="257"/>
      <c r="W161" s="257"/>
      <c r="X161" s="19"/>
      <c r="Y161" s="19"/>
      <c r="Z161" s="19"/>
      <c r="AA161" s="19"/>
      <c r="AB161" s="21"/>
      <c r="AC161" s="224"/>
      <c r="AD161" s="683"/>
      <c r="AE161" s="683"/>
      <c r="AF161" s="709"/>
      <c r="AG161" s="709"/>
      <c r="AH161" s="709"/>
      <c r="AI161" s="709"/>
      <c r="AJ161" s="249"/>
      <c r="AK161" s="257"/>
      <c r="AL161" s="257"/>
      <c r="AM161" s="257"/>
      <c r="AN161" s="19"/>
      <c r="AO161" s="19"/>
      <c r="AP161" s="367"/>
      <c r="AQ161" s="179"/>
      <c r="AR161" s="180"/>
      <c r="AS161" s="180"/>
      <c r="AT161" s="80"/>
      <c r="AU161" s="80"/>
      <c r="AV161" s="183">
        <v>3.14</v>
      </c>
      <c r="AW161" s="185">
        <f t="shared" si="13"/>
        <v>0.16560509554140126</v>
      </c>
      <c r="AX161" s="201">
        <f t="shared" si="11"/>
        <v>0.16560509554140126</v>
      </c>
      <c r="AY161" s="187">
        <v>1.57</v>
      </c>
      <c r="AZ161" s="189">
        <f t="shared" si="14"/>
        <v>0.26568187252583758</v>
      </c>
      <c r="BA161" s="202">
        <f t="shared" si="12"/>
        <v>0.26568187252583758</v>
      </c>
      <c r="BB161" s="202">
        <f t="shared" si="15"/>
        <v>1.3</v>
      </c>
      <c r="BC161" s="181"/>
      <c r="BD161" s="349"/>
      <c r="BE161" s="349"/>
      <c r="BF161" s="349"/>
      <c r="BG161" s="349"/>
      <c r="BH161" s="349"/>
      <c r="BI161" s="349"/>
      <c r="BJ161" s="349"/>
      <c r="BK161" s="349"/>
      <c r="BL161" s="349"/>
      <c r="BM161" s="349"/>
      <c r="BN161" s="349"/>
      <c r="BS161" s="8"/>
      <c r="BU161" s="8"/>
      <c r="BV161" s="8"/>
      <c r="BW161" s="8"/>
      <c r="BX161" s="8"/>
      <c r="BY161" s="8"/>
      <c r="BZ161" s="8"/>
      <c r="CA161" s="8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</row>
    <row r="162" spans="2:183" s="76" customFormat="1" ht="12" customHeight="1">
      <c r="B162" s="223"/>
      <c r="C162" s="223"/>
      <c r="D162" s="684" t="str">
        <f>IF(AND(OR(AK26&gt;0.6,AK26=0.6),AF160&lt;AB130),"!  هشدار  !","")</f>
        <v/>
      </c>
      <c r="E162" s="684"/>
      <c r="F162" s="684"/>
      <c r="G162" s="684"/>
      <c r="H162" s="684"/>
      <c r="I162" s="710" t="str">
        <f>IF(AND(Y32=CJ5,OR(AK26&gt;0.6,AK26=0.6),AF160&lt;AB130),"ضریب زلزله کنترل تغییرمکان جانبی کمتر از ضریب زلزله حداقل است.",IF(AND(Y32=CJ6,OR(AK26&gt;0.6,AK26=0.6),AF160&lt;AB130,OR(P160&gt;AB130,P160=AB130)),"ضریب زلزله کنترل تغییرمکان جانبی بدون اعمال ضریب نامعینی کمتر از ضریب زلزله حداقل است.",IF(AND(Y32=CJ6,OR(AK26&gt;0.6,AK26=0.6),AF160&lt;AB130,P160&lt;AB130),"ضریب زلزله تغییرمکان جانبی با و بدون اعمال ضریب نامعینی کمتر از ضریب زلزله حداقل هست","")))</f>
        <v/>
      </c>
      <c r="J162" s="710"/>
      <c r="K162" s="710"/>
      <c r="L162" s="710"/>
      <c r="M162" s="710"/>
      <c r="N162" s="710"/>
      <c r="O162" s="710"/>
      <c r="P162" s="710"/>
      <c r="Q162" s="710"/>
      <c r="R162" s="710"/>
      <c r="S162" s="710"/>
      <c r="T162" s="710"/>
      <c r="U162" s="710"/>
      <c r="V162" s="710"/>
      <c r="W162" s="710"/>
      <c r="X162" s="710"/>
      <c r="Y162" s="710"/>
      <c r="Z162" s="710"/>
      <c r="AA162" s="710"/>
      <c r="AB162" s="710"/>
      <c r="AC162" s="710"/>
      <c r="AD162" s="710"/>
      <c r="AE162" s="710"/>
      <c r="AF162" s="710"/>
      <c r="AG162" s="710"/>
      <c r="AH162" s="710"/>
      <c r="AI162" s="710"/>
      <c r="AJ162" s="710"/>
      <c r="AK162" s="710"/>
      <c r="AL162" s="685" t="str">
        <f>IF(AND(OR(AK26&gt;0.6,AK26=0.6),AF160&lt;AB130),"!  هشدار  !","")</f>
        <v/>
      </c>
      <c r="AM162" s="685"/>
      <c r="AN162" s="685"/>
      <c r="AO162" s="685"/>
      <c r="AP162" s="371"/>
      <c r="AQ162" s="179"/>
      <c r="AR162" s="180"/>
      <c r="AS162" s="180"/>
      <c r="AT162" s="80"/>
      <c r="AU162" s="80"/>
      <c r="AV162" s="183">
        <v>3.16</v>
      </c>
      <c r="AW162" s="185">
        <f t="shared" si="13"/>
        <v>0.16455696202531644</v>
      </c>
      <c r="AX162" s="201">
        <f t="shared" si="11"/>
        <v>0.16455696202531644</v>
      </c>
      <c r="AY162" s="187">
        <v>1.58</v>
      </c>
      <c r="AZ162" s="189">
        <f t="shared" si="14"/>
        <v>0.26568187252583758</v>
      </c>
      <c r="BA162" s="202">
        <f t="shared" si="12"/>
        <v>0.26568187252583758</v>
      </c>
      <c r="BB162" s="202">
        <f t="shared" si="15"/>
        <v>1.3</v>
      </c>
      <c r="BC162" s="181"/>
      <c r="BD162" s="349"/>
      <c r="BE162" s="349"/>
      <c r="BF162" s="349"/>
      <c r="BG162" s="349"/>
      <c r="BH162" s="349"/>
      <c r="BI162" s="349"/>
      <c r="BJ162" s="349"/>
      <c r="BK162" s="349"/>
      <c r="BL162" s="349"/>
      <c r="BM162" s="349"/>
      <c r="BN162" s="349"/>
      <c r="BS162" s="8"/>
      <c r="BU162" s="8"/>
      <c r="BV162" s="8"/>
      <c r="BW162" s="8"/>
      <c r="BX162" s="8"/>
      <c r="BY162" s="8"/>
      <c r="BZ162" s="8"/>
      <c r="CA162" s="8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</row>
    <row r="163" spans="2:183" s="76" customFormat="1" ht="12" customHeight="1">
      <c r="B163" s="223"/>
      <c r="C163" s="223"/>
      <c r="D163" s="684"/>
      <c r="E163" s="684"/>
      <c r="F163" s="684"/>
      <c r="G163" s="684"/>
      <c r="H163" s="684"/>
      <c r="I163" s="710"/>
      <c r="J163" s="710"/>
      <c r="K163" s="710"/>
      <c r="L163" s="710"/>
      <c r="M163" s="710"/>
      <c r="N163" s="710"/>
      <c r="O163" s="710"/>
      <c r="P163" s="710"/>
      <c r="Q163" s="710"/>
      <c r="R163" s="710"/>
      <c r="S163" s="710"/>
      <c r="T163" s="710"/>
      <c r="U163" s="710"/>
      <c r="V163" s="710"/>
      <c r="W163" s="710"/>
      <c r="X163" s="710"/>
      <c r="Y163" s="710"/>
      <c r="Z163" s="710"/>
      <c r="AA163" s="710"/>
      <c r="AB163" s="710"/>
      <c r="AC163" s="710"/>
      <c r="AD163" s="710"/>
      <c r="AE163" s="710"/>
      <c r="AF163" s="710"/>
      <c r="AG163" s="710"/>
      <c r="AH163" s="710"/>
      <c r="AI163" s="710"/>
      <c r="AJ163" s="710"/>
      <c r="AK163" s="710"/>
      <c r="AL163" s="685"/>
      <c r="AM163" s="685"/>
      <c r="AN163" s="685"/>
      <c r="AO163" s="685"/>
      <c r="AP163" s="371"/>
      <c r="AQ163" s="179"/>
      <c r="AR163" s="180"/>
      <c r="AS163" s="180"/>
      <c r="AT163" s="80"/>
      <c r="AU163" s="80"/>
      <c r="AV163" s="183">
        <v>3.18</v>
      </c>
      <c r="AW163" s="185">
        <f t="shared" si="13"/>
        <v>0.16352201257861634</v>
      </c>
      <c r="AX163" s="201">
        <f t="shared" si="11"/>
        <v>0.16352201257861634</v>
      </c>
      <c r="AY163" s="187">
        <v>1.59</v>
      </c>
      <c r="AZ163" s="189">
        <f t="shared" si="14"/>
        <v>0.26568187252583758</v>
      </c>
      <c r="BA163" s="202">
        <f t="shared" si="12"/>
        <v>0.26568187252583758</v>
      </c>
      <c r="BB163" s="202">
        <f t="shared" si="15"/>
        <v>1.3</v>
      </c>
      <c r="BC163" s="181"/>
      <c r="BD163" s="349"/>
      <c r="BE163" s="349"/>
      <c r="BF163" s="349"/>
      <c r="BG163" s="349"/>
      <c r="BH163" s="349"/>
      <c r="BI163" s="349"/>
      <c r="BJ163" s="349"/>
      <c r="BK163" s="349"/>
      <c r="BL163" s="349"/>
      <c r="BM163" s="349"/>
      <c r="BN163" s="349"/>
      <c r="BS163" s="8"/>
      <c r="BU163" s="8"/>
      <c r="BV163" s="8"/>
      <c r="BW163" s="8"/>
      <c r="BX163" s="8"/>
      <c r="BY163" s="8"/>
      <c r="BZ163" s="8"/>
      <c r="CA163" s="8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</row>
    <row r="164" spans="2:183" s="76" customFormat="1" ht="12" customHeight="1">
      <c r="B164" s="689" t="s">
        <v>199</v>
      </c>
      <c r="C164" s="690"/>
      <c r="D164" s="717" t="s">
        <v>235</v>
      </c>
      <c r="E164" s="717"/>
      <c r="F164" s="717"/>
      <c r="G164" s="717"/>
      <c r="H164" s="717"/>
      <c r="I164" s="717"/>
      <c r="J164" s="717"/>
      <c r="K164" s="717"/>
      <c r="L164" s="717"/>
      <c r="M164" s="717"/>
      <c r="N164" s="717"/>
      <c r="O164" s="717"/>
      <c r="P164" s="717"/>
      <c r="Q164" s="717"/>
      <c r="R164" s="717"/>
      <c r="S164" s="717"/>
      <c r="T164" s="717"/>
      <c r="U164" s="717"/>
      <c r="V164" s="717"/>
      <c r="W164" s="717"/>
      <c r="X164" s="262"/>
      <c r="Y164" s="262"/>
      <c r="Z164" s="262"/>
      <c r="AA164" s="262"/>
      <c r="AB164" s="262"/>
      <c r="AC164" s="262"/>
      <c r="AD164" s="262"/>
      <c r="AE164" s="262"/>
      <c r="AF164" s="262"/>
      <c r="AG164" s="262"/>
      <c r="AH164" s="262"/>
      <c r="AI164" s="262"/>
      <c r="AJ164" s="262"/>
      <c r="AK164" s="262"/>
      <c r="AL164" s="263"/>
      <c r="AM164" s="263"/>
      <c r="AN164" s="263"/>
      <c r="AO164" s="263"/>
      <c r="AP164" s="371"/>
      <c r="AQ164" s="179"/>
      <c r="AR164" s="180"/>
      <c r="AS164" s="180"/>
      <c r="AT164" s="80"/>
      <c r="AU164" s="80"/>
      <c r="AV164" s="183">
        <v>3.2</v>
      </c>
      <c r="AW164" s="185">
        <f t="shared" si="13"/>
        <v>0.16250000000000001</v>
      </c>
      <c r="AX164" s="201">
        <f t="shared" si="11"/>
        <v>0.16250000000000001</v>
      </c>
      <c r="AY164" s="187">
        <v>1.6</v>
      </c>
      <c r="AZ164" s="189">
        <f t="shared" si="14"/>
        <v>0.26568187252583758</v>
      </c>
      <c r="BA164" s="202">
        <f t="shared" si="12"/>
        <v>0.26568187252583758</v>
      </c>
      <c r="BB164" s="202">
        <f t="shared" si="15"/>
        <v>1.3</v>
      </c>
      <c r="BC164" s="181"/>
      <c r="BD164" s="349"/>
      <c r="BE164" s="349"/>
      <c r="BF164" s="349"/>
      <c r="BG164" s="349"/>
      <c r="BH164" s="349"/>
      <c r="BI164" s="349"/>
      <c r="BJ164" s="349"/>
      <c r="BK164" s="349"/>
      <c r="BL164" s="349"/>
      <c r="BM164" s="349"/>
      <c r="BN164" s="349"/>
      <c r="BS164" s="8"/>
      <c r="BU164" s="8"/>
      <c r="BV164" s="8"/>
      <c r="BW164" s="8"/>
      <c r="BX164" s="8"/>
      <c r="BY164" s="8"/>
      <c r="BZ164" s="8"/>
      <c r="CA164" s="8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</row>
    <row r="165" spans="2:183" s="76" customFormat="1" ht="12" customHeight="1">
      <c r="B165" s="690"/>
      <c r="C165" s="690"/>
      <c r="D165" s="717"/>
      <c r="E165" s="717"/>
      <c r="F165" s="717"/>
      <c r="G165" s="717"/>
      <c r="H165" s="717"/>
      <c r="I165" s="717"/>
      <c r="J165" s="717"/>
      <c r="K165" s="717"/>
      <c r="L165" s="717"/>
      <c r="M165" s="717"/>
      <c r="N165" s="717"/>
      <c r="O165" s="717"/>
      <c r="P165" s="717"/>
      <c r="Q165" s="717"/>
      <c r="R165" s="717"/>
      <c r="S165" s="717"/>
      <c r="T165" s="717"/>
      <c r="U165" s="717"/>
      <c r="V165" s="717"/>
      <c r="W165" s="717"/>
      <c r="X165" s="262"/>
      <c r="Y165" s="262"/>
      <c r="Z165" s="262"/>
      <c r="AA165" s="262"/>
      <c r="AB165" s="262"/>
      <c r="AC165" s="262"/>
      <c r="AD165" s="262"/>
      <c r="AE165" s="262"/>
      <c r="AF165" s="262"/>
      <c r="AG165" s="262"/>
      <c r="AH165" s="262"/>
      <c r="AI165" s="262"/>
      <c r="AJ165" s="262"/>
      <c r="AK165" s="262"/>
      <c r="AL165" s="263"/>
      <c r="AM165" s="263"/>
      <c r="AN165" s="263"/>
      <c r="AO165" s="263"/>
      <c r="AP165" s="371"/>
      <c r="AQ165" s="179"/>
      <c r="AR165" s="180"/>
      <c r="AS165" s="180"/>
      <c r="AT165" s="80"/>
      <c r="AU165" s="80"/>
      <c r="AV165" s="183">
        <v>3.22</v>
      </c>
      <c r="AW165" s="185">
        <f t="shared" si="13"/>
        <v>0.16149068322981366</v>
      </c>
      <c r="AX165" s="201">
        <f t="shared" si="11"/>
        <v>0.16149068322981366</v>
      </c>
      <c r="AY165" s="187">
        <v>1.61</v>
      </c>
      <c r="AZ165" s="189">
        <f t="shared" si="14"/>
        <v>0.26568187252583758</v>
      </c>
      <c r="BA165" s="202">
        <f t="shared" si="12"/>
        <v>0.26568187252583758</v>
      </c>
      <c r="BB165" s="202">
        <f t="shared" si="15"/>
        <v>1.3</v>
      </c>
      <c r="BC165" s="181"/>
      <c r="BD165" s="349"/>
      <c r="BE165" s="349"/>
      <c r="BF165" s="349"/>
      <c r="BG165" s="349"/>
      <c r="BH165" s="349"/>
      <c r="BI165" s="349"/>
      <c r="BJ165" s="349"/>
      <c r="BK165" s="349"/>
      <c r="BL165" s="349"/>
      <c r="BM165" s="349"/>
      <c r="BN165" s="349"/>
      <c r="BS165" s="8"/>
      <c r="BU165" s="8"/>
      <c r="BV165" s="8"/>
      <c r="BW165" s="8"/>
      <c r="BX165" s="8"/>
      <c r="BY165" s="8"/>
      <c r="BZ165" s="8"/>
      <c r="CA165" s="8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</row>
    <row r="166" spans="2:183" s="76" customFormat="1" ht="12" customHeight="1">
      <c r="B166" s="223"/>
      <c r="C166" s="223"/>
      <c r="D166" s="261"/>
      <c r="E166" s="261"/>
      <c r="F166" s="261"/>
      <c r="G166" s="261"/>
      <c r="H166" s="261"/>
      <c r="I166" s="262"/>
      <c r="J166" s="262"/>
      <c r="K166" s="262"/>
      <c r="L166" s="262"/>
      <c r="M166" s="262"/>
      <c r="N166" s="262"/>
      <c r="O166" s="262"/>
      <c r="P166" s="262"/>
      <c r="Q166" s="262"/>
      <c r="R166" s="262"/>
      <c r="S166" s="262"/>
      <c r="T166" s="262"/>
      <c r="U166" s="262"/>
      <c r="V166" s="262"/>
      <c r="X166" s="699">
        <f>0.2*AQ92</f>
        <v>0.18000000000000002</v>
      </c>
      <c r="Y166" s="699"/>
      <c r="Z166" s="699"/>
      <c r="AA166" s="21"/>
      <c r="AB166" s="21"/>
      <c r="AC166" s="691" t="str">
        <f>"0.2 * "&amp;ROUND(AQ92,2)&amp; " *"</f>
        <v>0.2 * 0.9 *</v>
      </c>
      <c r="AD166" s="691"/>
      <c r="AE166" s="691"/>
      <c r="AF166" s="691"/>
      <c r="AG166" s="691"/>
      <c r="AH166" s="262"/>
      <c r="AI166" s="262"/>
      <c r="AJ166" s="262"/>
      <c r="AK166" s="262"/>
      <c r="AL166" s="263"/>
      <c r="AM166" s="263"/>
      <c r="AN166" s="263"/>
      <c r="AO166" s="685"/>
      <c r="AP166" s="685"/>
      <c r="AQ166" s="179"/>
      <c r="AR166" s="180"/>
      <c r="AS166" s="180"/>
      <c r="AT166" s="80"/>
      <c r="AU166" s="80"/>
      <c r="AV166" s="183">
        <v>3.24</v>
      </c>
      <c r="AW166" s="185">
        <f t="shared" si="13"/>
        <v>0.16049382716049382</v>
      </c>
      <c r="AX166" s="201">
        <f t="shared" si="11"/>
        <v>0.16049382716049382</v>
      </c>
      <c r="AY166" s="187">
        <v>1.62</v>
      </c>
      <c r="AZ166" s="189">
        <f t="shared" si="14"/>
        <v>0.26568187252583758</v>
      </c>
      <c r="BA166" s="202">
        <f t="shared" si="12"/>
        <v>0.26568187252583758</v>
      </c>
      <c r="BB166" s="202">
        <f t="shared" si="15"/>
        <v>1.3</v>
      </c>
      <c r="BC166" s="181"/>
      <c r="BD166" s="349"/>
      <c r="BE166" s="349"/>
      <c r="BF166" s="349"/>
      <c r="BG166" s="349"/>
      <c r="BH166" s="349"/>
      <c r="BI166" s="349"/>
      <c r="BJ166" s="349"/>
      <c r="BK166" s="349"/>
      <c r="BL166" s="349"/>
      <c r="BM166" s="349"/>
      <c r="BN166" s="349"/>
      <c r="BS166" s="8"/>
      <c r="BU166" s="8"/>
      <c r="BV166" s="8"/>
      <c r="BW166" s="8"/>
      <c r="BX166" s="8"/>
      <c r="BY166" s="8"/>
      <c r="BZ166" s="8"/>
      <c r="CA166" s="8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</row>
    <row r="167" spans="2:183" s="76" customFormat="1" ht="12" customHeight="1">
      <c r="B167" s="223"/>
      <c r="C167" s="223"/>
      <c r="D167" s="261"/>
      <c r="E167" s="261"/>
      <c r="F167" s="261"/>
      <c r="G167" s="261"/>
      <c r="H167" s="261"/>
      <c r="I167" s="262"/>
      <c r="J167" s="262"/>
      <c r="K167" s="262"/>
      <c r="L167" s="262"/>
      <c r="M167" s="262"/>
      <c r="N167" s="262"/>
      <c r="O167" s="262"/>
      <c r="P167" s="262"/>
      <c r="Q167" s="262"/>
      <c r="R167" s="262"/>
      <c r="S167" s="262"/>
      <c r="T167" s="262"/>
      <c r="U167" s="262"/>
      <c r="V167" s="262"/>
      <c r="W167" s="21"/>
      <c r="X167" s="699"/>
      <c r="Y167" s="699"/>
      <c r="Z167" s="699"/>
      <c r="AA167" s="21"/>
      <c r="AB167" s="21"/>
      <c r="AC167" s="691"/>
      <c r="AD167" s="691"/>
      <c r="AE167" s="691"/>
      <c r="AF167" s="691"/>
      <c r="AG167" s="691"/>
      <c r="AH167" s="262"/>
      <c r="AI167" s="262"/>
      <c r="AJ167" s="262"/>
      <c r="AK167" s="262"/>
      <c r="AL167" s="263"/>
      <c r="AM167" s="263"/>
      <c r="AN167" s="263"/>
      <c r="AO167" s="685"/>
      <c r="AP167" s="685"/>
      <c r="AQ167" s="179"/>
      <c r="AR167" s="180"/>
      <c r="AS167" s="180"/>
      <c r="AT167" s="80"/>
      <c r="AU167" s="80"/>
      <c r="AV167" s="183">
        <v>3.26</v>
      </c>
      <c r="AW167" s="185">
        <f t="shared" si="13"/>
        <v>0.15950920245398775</v>
      </c>
      <c r="AX167" s="201">
        <f t="shared" si="11"/>
        <v>0.15950920245398775</v>
      </c>
      <c r="AY167" s="187">
        <v>1.63</v>
      </c>
      <c r="AZ167" s="189">
        <f t="shared" si="14"/>
        <v>0.26568187252583758</v>
      </c>
      <c r="BA167" s="202">
        <f t="shared" si="12"/>
        <v>0.26568187252583758</v>
      </c>
      <c r="BB167" s="202">
        <f t="shared" si="15"/>
        <v>1.3</v>
      </c>
      <c r="BC167" s="181"/>
      <c r="BD167" s="349"/>
      <c r="BE167" s="349"/>
      <c r="BF167" s="349"/>
      <c r="BG167" s="349"/>
      <c r="BH167" s="349"/>
      <c r="BI167" s="349"/>
      <c r="BJ167" s="349"/>
      <c r="BK167" s="349"/>
      <c r="BL167" s="349"/>
      <c r="BM167" s="349"/>
      <c r="BN167" s="349"/>
      <c r="BS167" s="8"/>
      <c r="BU167" s="8"/>
      <c r="BV167" s="8"/>
      <c r="BW167" s="8"/>
      <c r="BX167" s="8"/>
      <c r="BY167" s="8"/>
      <c r="BZ167" s="8"/>
      <c r="CA167" s="8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</row>
    <row r="168" spans="2:183" s="76" customFormat="1" ht="12" customHeight="1">
      <c r="B168" s="223"/>
      <c r="C168" s="223"/>
      <c r="D168" s="927" t="str">
        <f>IF(OR(AK24&gt;1.15,AK26&gt;0.5),"براساس بند ۲-۵-۹-۳ و با توجه به شتاب طیفی زلزله، این نیرو نیز باید در نظر گرفته شود.","براساس بند ۲-۵-۹-۳با توجه به شتاب طیفی زلزله نیازی به در نظر گرفتن این مورد نیست")</f>
        <v>براساس بند ۲-۵-۹-۳ و با توجه به شتاب طیفی زلزله، این نیرو نیز باید در نظر گرفته شود.</v>
      </c>
      <c r="E168" s="927"/>
      <c r="F168" s="927"/>
      <c r="G168" s="927"/>
      <c r="H168" s="927"/>
      <c r="I168" s="927"/>
      <c r="J168" s="927"/>
      <c r="K168" s="927"/>
      <c r="L168" s="927"/>
      <c r="M168" s="927"/>
      <c r="N168" s="927"/>
      <c r="O168" s="927"/>
      <c r="P168" s="927"/>
      <c r="Q168" s="927"/>
      <c r="R168" s="927"/>
      <c r="S168" s="927"/>
      <c r="T168" s="927"/>
      <c r="U168" s="927"/>
      <c r="V168" s="927"/>
      <c r="W168" s="927"/>
      <c r="X168" s="927"/>
      <c r="Y168" s="927"/>
      <c r="Z168" s="927"/>
      <c r="AA168" s="927"/>
      <c r="AB168" s="262"/>
      <c r="AC168" s="262"/>
      <c r="AD168" s="699">
        <f>0.65*AQ92</f>
        <v>0.58500000000000008</v>
      </c>
      <c r="AE168" s="699"/>
      <c r="AF168" s="699"/>
      <c r="AG168" s="19"/>
      <c r="AH168" s="262"/>
      <c r="AI168" s="262"/>
      <c r="AJ168" s="262"/>
      <c r="AK168" s="262"/>
      <c r="AL168" s="263"/>
      <c r="AM168" s="263"/>
      <c r="AN168" s="263"/>
      <c r="AO168" s="263"/>
      <c r="AP168" s="372"/>
      <c r="AQ168" s="179"/>
      <c r="AR168" s="180"/>
      <c r="AS168" s="180"/>
      <c r="AT168" s="80"/>
      <c r="AU168" s="80"/>
      <c r="AV168" s="183">
        <v>3.28</v>
      </c>
      <c r="AW168" s="185">
        <f t="shared" si="13"/>
        <v>0.15853658536585366</v>
      </c>
      <c r="AX168" s="201">
        <f t="shared" si="11"/>
        <v>0.15853658536585366</v>
      </c>
      <c r="AY168" s="187">
        <v>1.64</v>
      </c>
      <c r="AZ168" s="189">
        <f t="shared" si="14"/>
        <v>0.26568187252583758</v>
      </c>
      <c r="BA168" s="202">
        <f t="shared" si="12"/>
        <v>0.26568187252583758</v>
      </c>
      <c r="BB168" s="202">
        <f t="shared" si="15"/>
        <v>1.3</v>
      </c>
      <c r="BC168" s="181"/>
      <c r="BD168" s="349"/>
      <c r="BE168" s="349"/>
      <c r="BF168" s="349"/>
      <c r="BG168" s="349"/>
      <c r="BH168" s="349"/>
      <c r="BI168" s="349"/>
      <c r="BJ168" s="349"/>
      <c r="BK168" s="349"/>
      <c r="BL168" s="349"/>
      <c r="BM168" s="349"/>
      <c r="BN168" s="349"/>
      <c r="BS168" s="8"/>
      <c r="BU168" s="8"/>
      <c r="BV168" s="8"/>
      <c r="BW168" s="8"/>
      <c r="BX168" s="8"/>
      <c r="BY168" s="8"/>
      <c r="BZ168" s="8"/>
      <c r="CA168" s="8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</row>
    <row r="169" spans="2:183" s="76" customFormat="1" ht="12" customHeight="1">
      <c r="B169" s="223"/>
      <c r="C169" s="223"/>
      <c r="D169" s="927"/>
      <c r="E169" s="927"/>
      <c r="F169" s="927"/>
      <c r="G169" s="927"/>
      <c r="H169" s="927"/>
      <c r="I169" s="927"/>
      <c r="J169" s="927"/>
      <c r="K169" s="927"/>
      <c r="L169" s="927"/>
      <c r="M169" s="927"/>
      <c r="N169" s="927"/>
      <c r="O169" s="927"/>
      <c r="P169" s="927"/>
      <c r="Q169" s="927"/>
      <c r="R169" s="927"/>
      <c r="S169" s="927"/>
      <c r="T169" s="927"/>
      <c r="U169" s="927"/>
      <c r="V169" s="927"/>
      <c r="W169" s="927"/>
      <c r="X169" s="927"/>
      <c r="Y169" s="927"/>
      <c r="Z169" s="927"/>
      <c r="AA169" s="927"/>
      <c r="AB169" s="262"/>
      <c r="AC169" s="262"/>
      <c r="AD169" s="699"/>
      <c r="AE169" s="699"/>
      <c r="AF169" s="699"/>
      <c r="AG169" s="19"/>
      <c r="AH169" s="262"/>
      <c r="AI169" s="262"/>
      <c r="AJ169" s="262"/>
      <c r="AK169" s="262"/>
      <c r="AL169" s="263"/>
      <c r="AM169" s="263"/>
      <c r="AN169" s="263"/>
      <c r="AO169" s="263"/>
      <c r="AP169" s="372"/>
      <c r="AQ169" s="179"/>
      <c r="AR169" s="180"/>
      <c r="AS169" s="180"/>
      <c r="AT169" s="80"/>
      <c r="AU169" s="80"/>
      <c r="AV169" s="183">
        <v>3.3</v>
      </c>
      <c r="AW169" s="185">
        <f t="shared" si="13"/>
        <v>0.15757575757575759</v>
      </c>
      <c r="AX169" s="201">
        <f t="shared" si="11"/>
        <v>0.15757575757575759</v>
      </c>
      <c r="AY169" s="187">
        <v>1.65</v>
      </c>
      <c r="AZ169" s="189">
        <f t="shared" si="14"/>
        <v>0.26568187252583758</v>
      </c>
      <c r="BA169" s="202">
        <f t="shared" si="12"/>
        <v>0.26568187252583758</v>
      </c>
      <c r="BB169" s="202">
        <f t="shared" si="15"/>
        <v>1.3</v>
      </c>
      <c r="BC169" s="181"/>
      <c r="BD169" s="349"/>
      <c r="BE169" s="349"/>
      <c r="BF169" s="349"/>
      <c r="BG169" s="349"/>
      <c r="BH169" s="349"/>
      <c r="BI169" s="349"/>
      <c r="BJ169" s="349"/>
      <c r="BK169" s="349"/>
      <c r="BL169" s="349"/>
      <c r="BM169" s="349"/>
      <c r="BN169" s="349"/>
      <c r="BS169" s="8"/>
      <c r="BU169" s="8"/>
      <c r="BV169" s="8"/>
      <c r="BW169" s="8"/>
      <c r="BX169" s="8"/>
      <c r="BY169" s="8"/>
      <c r="BZ169" s="8"/>
      <c r="CA169" s="8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</row>
    <row r="170" spans="2:183" s="76" customFormat="1" ht="12" customHeight="1">
      <c r="B170" s="688" t="s">
        <v>199</v>
      </c>
      <c r="C170" s="688"/>
      <c r="D170" s="717" t="s">
        <v>308</v>
      </c>
      <c r="E170" s="717"/>
      <c r="F170" s="717"/>
      <c r="G170" s="717"/>
      <c r="H170" s="717"/>
      <c r="I170" s="717"/>
      <c r="J170" s="717"/>
      <c r="K170" s="717"/>
      <c r="L170" s="717"/>
      <c r="M170" s="717"/>
      <c r="N170" s="717"/>
      <c r="O170" s="717"/>
      <c r="P170" s="717"/>
      <c r="Q170" s="717"/>
      <c r="R170" s="717"/>
      <c r="S170" s="717"/>
      <c r="T170" s="717"/>
      <c r="U170" s="717"/>
      <c r="V170" s="375"/>
      <c r="W170" s="375"/>
      <c r="X170" s="375"/>
      <c r="Y170" s="347"/>
      <c r="Z170" s="347"/>
      <c r="AA170" s="347"/>
      <c r="AB170" s="262"/>
      <c r="AC170" s="262"/>
      <c r="AD170" s="257"/>
      <c r="AE170" s="257"/>
      <c r="AF170" s="257"/>
      <c r="AG170" s="19"/>
      <c r="AH170" s="262"/>
      <c r="AI170" s="262"/>
      <c r="AJ170" s="262"/>
      <c r="AK170" s="262"/>
      <c r="AL170" s="263"/>
      <c r="AM170" s="263"/>
      <c r="AN170" s="263"/>
      <c r="AO170" s="263"/>
      <c r="AP170" s="372"/>
      <c r="AQ170" s="179"/>
      <c r="AR170" s="180"/>
      <c r="AS170" s="180"/>
      <c r="AT170" s="80"/>
      <c r="AU170" s="80"/>
      <c r="AV170" s="183">
        <v>3.32</v>
      </c>
      <c r="AW170" s="185">
        <f t="shared" si="13"/>
        <v>0.15662650602409639</v>
      </c>
      <c r="AX170" s="201">
        <f t="shared" si="11"/>
        <v>0.15662650602409639</v>
      </c>
      <c r="AY170" s="187">
        <v>1.66</v>
      </c>
      <c r="AZ170" s="189">
        <f t="shared" si="14"/>
        <v>0.26568187252583758</v>
      </c>
      <c r="BA170" s="202">
        <f t="shared" si="12"/>
        <v>0.26568187252583758</v>
      </c>
      <c r="BB170" s="202">
        <f t="shared" si="15"/>
        <v>1.3</v>
      </c>
      <c r="BC170" s="181"/>
      <c r="BD170" s="349"/>
      <c r="BE170" s="349"/>
      <c r="BF170" s="349"/>
      <c r="BG170" s="349"/>
      <c r="BH170" s="349"/>
      <c r="BI170" s="349"/>
      <c r="BJ170" s="349"/>
      <c r="BK170" s="349"/>
      <c r="BL170" s="349"/>
      <c r="BM170" s="349"/>
      <c r="BN170" s="349"/>
      <c r="BS170" s="8"/>
      <c r="BU170" s="8"/>
      <c r="BV170" s="8"/>
      <c r="BW170" s="8"/>
      <c r="BX170" s="8"/>
      <c r="BY170" s="8"/>
      <c r="BZ170" s="8"/>
      <c r="CA170" s="8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</row>
    <row r="171" spans="2:183" s="76" customFormat="1" ht="12" customHeight="1">
      <c r="B171" s="688"/>
      <c r="C171" s="688"/>
      <c r="D171" s="717"/>
      <c r="E171" s="717"/>
      <c r="F171" s="717"/>
      <c r="G171" s="717"/>
      <c r="H171" s="717"/>
      <c r="I171" s="717"/>
      <c r="J171" s="717"/>
      <c r="K171" s="717"/>
      <c r="L171" s="717"/>
      <c r="M171" s="717"/>
      <c r="N171" s="717"/>
      <c r="O171" s="717"/>
      <c r="P171" s="717"/>
      <c r="Q171" s="717"/>
      <c r="R171" s="717"/>
      <c r="S171" s="717"/>
      <c r="T171" s="717"/>
      <c r="U171" s="717"/>
      <c r="V171" s="375"/>
      <c r="W171" s="375"/>
      <c r="X171" s="375"/>
      <c r="Y171" s="375"/>
      <c r="Z171" s="375"/>
      <c r="AA171" s="375"/>
      <c r="AB171" s="375"/>
      <c r="AC171" s="375"/>
      <c r="AD171" s="375"/>
      <c r="AE171" s="707" t="str">
        <f xml:space="preserve"> "0.4 Ss = " &amp;ROUND(0.4*AK24,3)</f>
        <v>0.4 Ss = 0.54</v>
      </c>
      <c r="AF171" s="707"/>
      <c r="AG171" s="707"/>
      <c r="AH171" s="707"/>
      <c r="AI171" s="707"/>
      <c r="AJ171" s="707"/>
      <c r="AK171" s="707"/>
      <c r="AL171" s="263"/>
      <c r="AM171" s="263"/>
      <c r="AN171" s="263"/>
      <c r="AO171" s="263"/>
      <c r="AP171" s="372"/>
      <c r="AQ171" s="179"/>
      <c r="AR171" s="180"/>
      <c r="AS171" s="180"/>
      <c r="AT171" s="80"/>
      <c r="AU171" s="80"/>
      <c r="AV171" s="183">
        <v>3.34</v>
      </c>
      <c r="AW171" s="185">
        <f t="shared" si="13"/>
        <v>0.15568862275449102</v>
      </c>
      <c r="AX171" s="201">
        <f t="shared" si="11"/>
        <v>0.15568862275449102</v>
      </c>
      <c r="AY171" s="187">
        <v>1.67</v>
      </c>
      <c r="AZ171" s="189">
        <f t="shared" si="14"/>
        <v>0.26568187252583758</v>
      </c>
      <c r="BA171" s="202">
        <f t="shared" si="12"/>
        <v>0.26568187252583758</v>
      </c>
      <c r="BB171" s="202">
        <f t="shared" si="15"/>
        <v>1.3</v>
      </c>
      <c r="BC171" s="181"/>
      <c r="BD171" s="349"/>
      <c r="BE171" s="349"/>
      <c r="BF171" s="349"/>
      <c r="BG171" s="349"/>
      <c r="BH171" s="349"/>
      <c r="BI171" s="349"/>
      <c r="BJ171" s="349"/>
      <c r="BK171" s="349"/>
      <c r="BL171" s="349"/>
      <c r="BM171" s="349"/>
      <c r="BN171" s="349"/>
      <c r="BS171" s="8"/>
      <c r="BU171" s="8"/>
      <c r="BV171" s="8"/>
      <c r="BW171" s="8"/>
      <c r="BX171" s="8"/>
      <c r="BY171" s="8"/>
      <c r="BZ171" s="8"/>
      <c r="CA171" s="8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</row>
    <row r="172" spans="2:183" s="76" customFormat="1" ht="12" customHeight="1">
      <c r="C172" s="250"/>
      <c r="D172" s="719" t="s">
        <v>310</v>
      </c>
      <c r="E172" s="719"/>
      <c r="F172" s="719"/>
      <c r="G172" s="719"/>
      <c r="H172" s="719"/>
      <c r="I172" s="719"/>
      <c r="J172" s="719"/>
      <c r="K172" s="719"/>
      <c r="L172" s="719"/>
      <c r="M172" s="719"/>
      <c r="N172" s="719"/>
      <c r="O172" s="719"/>
      <c r="P172" s="719"/>
      <c r="Q172" s="719"/>
      <c r="R172" s="719"/>
      <c r="S172" s="719"/>
      <c r="T172" s="719"/>
      <c r="U172" s="719"/>
      <c r="V172" s="719"/>
      <c r="W172" s="719"/>
      <c r="X172" s="375"/>
      <c r="Y172" s="375"/>
      <c r="Z172" s="375"/>
      <c r="AA172" s="375"/>
      <c r="AB172" s="375"/>
      <c r="AC172" s="375"/>
      <c r="AD172" s="375"/>
      <c r="AE172" s="707"/>
      <c r="AF172" s="707"/>
      <c r="AG172" s="707"/>
      <c r="AH172" s="707"/>
      <c r="AI172" s="707"/>
      <c r="AJ172" s="707"/>
      <c r="AK172" s="707"/>
      <c r="AL172" s="348"/>
      <c r="AM172" s="348"/>
      <c r="AN172" s="348"/>
      <c r="AO172" s="348"/>
      <c r="AP172" s="373"/>
      <c r="AQ172" s="179"/>
      <c r="AR172" s="180"/>
      <c r="AS172" s="180"/>
      <c r="AT172" s="80"/>
      <c r="AU172" s="80"/>
      <c r="AV172" s="183">
        <v>3.36</v>
      </c>
      <c r="AW172" s="185">
        <f t="shared" si="13"/>
        <v>0.15476190476190477</v>
      </c>
      <c r="AX172" s="201">
        <f t="shared" si="11"/>
        <v>0.15476190476190477</v>
      </c>
      <c r="AY172" s="187">
        <v>1.68</v>
      </c>
      <c r="AZ172" s="189">
        <f t="shared" si="14"/>
        <v>0.26568187252583758</v>
      </c>
      <c r="BA172" s="202">
        <f t="shared" si="12"/>
        <v>0.26568187252583758</v>
      </c>
      <c r="BB172" s="202">
        <f t="shared" si="15"/>
        <v>1.3</v>
      </c>
      <c r="BC172" s="181"/>
      <c r="BD172" s="349"/>
      <c r="BE172" s="349"/>
      <c r="BF172" s="349"/>
      <c r="BG172" s="349"/>
      <c r="BH172" s="349"/>
      <c r="BI172" s="349"/>
      <c r="BJ172" s="349"/>
      <c r="BK172" s="349"/>
      <c r="BL172" s="349"/>
      <c r="BM172" s="349"/>
      <c r="BN172" s="349"/>
      <c r="BS172" s="8"/>
      <c r="BU172" s="8"/>
      <c r="BV172" s="8"/>
      <c r="BW172" s="8"/>
      <c r="BX172" s="8"/>
      <c r="BY172" s="8"/>
      <c r="BZ172" s="8"/>
      <c r="CA172" s="8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</row>
    <row r="173" spans="2:183" s="76" customFormat="1" ht="12" customHeight="1">
      <c r="B173" s="250"/>
      <c r="C173" s="250"/>
      <c r="D173" s="719" t="s">
        <v>311</v>
      </c>
      <c r="E173" s="719"/>
      <c r="F173" s="719"/>
      <c r="G173" s="719"/>
      <c r="H173" s="719"/>
      <c r="I173" s="719"/>
      <c r="J173" s="719"/>
      <c r="K173" s="719"/>
      <c r="L173" s="719"/>
      <c r="M173" s="719"/>
      <c r="N173" s="719"/>
      <c r="O173" s="719"/>
      <c r="P173" s="719"/>
      <c r="Q173" s="719"/>
      <c r="R173" s="719"/>
      <c r="S173" s="719"/>
      <c r="T173" s="719"/>
      <c r="U173" s="719"/>
      <c r="V173" s="719"/>
      <c r="W173" s="719"/>
      <c r="X173" s="719"/>
      <c r="Y173" s="719"/>
      <c r="Z173" s="719"/>
      <c r="AA173" s="719"/>
      <c r="AB173" s="719"/>
      <c r="AC173" s="348"/>
      <c r="AD173" s="348"/>
      <c r="AE173" s="348"/>
      <c r="AF173" s="348"/>
      <c r="AG173" s="348"/>
      <c r="AH173" s="348"/>
      <c r="AI173" s="723">
        <f>IF(AQ19=6,AC22,IF(AND(OR((0.4*AK24)&gt;0.2,(0.4*AK24)=0.2),OR((0.4*AK24)&lt;0.3,(0.4*AK24)=0.3)),LOOKUP(AQ19,BN89:BN93,BE89:BE93),IF(AND((0.4*AK24)&gt;0.3,OR((0.4*AK24)&lt;0.4,(0.4*AK24)=0.4)),LOOKUP(AQ19,BN89:BN93,BG89:BG93),IF(AND((0.4*AK24)&gt;0.4,OR((0.4*AK24)&lt;0.5,(0.4*AK24)=0.5)),LOOKUP(AQ19,BN89:BN93,BI89:BI93),IF(AND((0.4*AK24)&gt;0.5,(0.4*AK24)&lt;0.6),LOOKUP(AQ19,BN89:BN93,BK89:BK93),IF(OR((0.4*AK24)&gt;0.6,(0.4*AK24)=0.6),LOOKUP(AQ19,BN89:BN93,BL89:BL93),"Error"))))))</f>
        <v>1</v>
      </c>
      <c r="AJ173" s="723"/>
      <c r="AK173" s="723"/>
      <c r="AL173" s="348"/>
      <c r="AM173" s="348"/>
      <c r="AN173" s="348"/>
      <c r="AO173" s="348"/>
      <c r="AP173" s="373"/>
      <c r="AQ173" s="718">
        <f>0.4*AK24</f>
        <v>0.54</v>
      </c>
      <c r="AR173" s="646" t="s">
        <v>309</v>
      </c>
      <c r="AS173" s="180"/>
      <c r="AT173" s="80"/>
      <c r="AU173" s="80"/>
      <c r="AV173" s="183">
        <v>3.38</v>
      </c>
      <c r="AW173" s="185">
        <f t="shared" si="13"/>
        <v>0.15384615384615385</v>
      </c>
      <c r="AX173" s="201">
        <f t="shared" si="11"/>
        <v>0.15384615384615385</v>
      </c>
      <c r="AY173" s="187">
        <v>1.69</v>
      </c>
      <c r="AZ173" s="189">
        <f t="shared" si="14"/>
        <v>0.26568187252583758</v>
      </c>
      <c r="BA173" s="202">
        <f t="shared" si="12"/>
        <v>0.26568187252583758</v>
      </c>
      <c r="BB173" s="202">
        <f t="shared" si="15"/>
        <v>1.3</v>
      </c>
      <c r="BC173" s="181"/>
      <c r="BD173" s="349"/>
      <c r="BE173" s="349"/>
      <c r="BF173" s="349"/>
      <c r="BG173" s="349"/>
      <c r="BH173" s="349"/>
      <c r="BI173" s="349"/>
      <c r="BJ173" s="349"/>
      <c r="BK173" s="349"/>
      <c r="BL173" s="349"/>
      <c r="BM173" s="349"/>
      <c r="BN173" s="349"/>
      <c r="BS173" s="8"/>
      <c r="BU173" s="8"/>
      <c r="BV173" s="8"/>
      <c r="BW173" s="8"/>
      <c r="BX173" s="8"/>
      <c r="BY173" s="8"/>
      <c r="BZ173" s="8"/>
      <c r="CA173" s="8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</row>
    <row r="174" spans="2:183" s="76" customFormat="1" ht="12" customHeight="1">
      <c r="B174" s="223"/>
      <c r="C174" s="223"/>
      <c r="D174" s="719"/>
      <c r="E174" s="719"/>
      <c r="F174" s="719"/>
      <c r="G174" s="719"/>
      <c r="H174" s="719"/>
      <c r="I174" s="719"/>
      <c r="J174" s="719"/>
      <c r="K174" s="719"/>
      <c r="L174" s="719"/>
      <c r="M174" s="719"/>
      <c r="N174" s="719"/>
      <c r="O174" s="719"/>
      <c r="P174" s="719"/>
      <c r="Q174" s="719"/>
      <c r="R174" s="719"/>
      <c r="S174" s="719"/>
      <c r="T174" s="719"/>
      <c r="U174" s="719"/>
      <c r="V174" s="719"/>
      <c r="W174" s="719"/>
      <c r="X174" s="719"/>
      <c r="Y174" s="719"/>
      <c r="Z174" s="719"/>
      <c r="AA174" s="719"/>
      <c r="AB174" s="719"/>
      <c r="AC174" s="348"/>
      <c r="AD174" s="348"/>
      <c r="AE174" s="348"/>
      <c r="AF174" s="348"/>
      <c r="AG174" s="348"/>
      <c r="AH174" s="348"/>
      <c r="AI174" s="723"/>
      <c r="AJ174" s="723"/>
      <c r="AK174" s="723"/>
      <c r="AL174" s="348"/>
      <c r="AM174" s="348"/>
      <c r="AN174" s="348"/>
      <c r="AO174" s="348"/>
      <c r="AP174" s="373"/>
      <c r="AQ174" s="718"/>
      <c r="AR174" s="646"/>
      <c r="AS174" s="180"/>
      <c r="AT174" s="80"/>
      <c r="AU174" s="80"/>
      <c r="AV174" s="183">
        <v>3.4</v>
      </c>
      <c r="AW174" s="185">
        <f t="shared" si="13"/>
        <v>0.15294117647058825</v>
      </c>
      <c r="AX174" s="201">
        <f t="shared" si="11"/>
        <v>0.15294117647058825</v>
      </c>
      <c r="AY174" s="187">
        <v>1.7</v>
      </c>
      <c r="AZ174" s="189">
        <f t="shared" si="14"/>
        <v>0.26568187252583758</v>
      </c>
      <c r="BA174" s="202">
        <f t="shared" si="12"/>
        <v>0.26568187252583758</v>
      </c>
      <c r="BB174" s="202">
        <f t="shared" si="15"/>
        <v>1.3</v>
      </c>
      <c r="BC174" s="181"/>
      <c r="BD174" s="349"/>
      <c r="BE174" s="349"/>
      <c r="BF174" s="349"/>
      <c r="BG174" s="349"/>
      <c r="BH174" s="349"/>
      <c r="BI174" s="349"/>
      <c r="BJ174" s="349"/>
      <c r="BK174" s="349"/>
      <c r="BL174" s="349"/>
      <c r="BM174" s="349"/>
      <c r="BN174" s="349"/>
      <c r="BS174" s="8"/>
      <c r="BU174" s="8"/>
      <c r="BV174" s="8"/>
      <c r="BW174" s="8"/>
      <c r="BX174" s="8"/>
      <c r="BY174" s="8"/>
      <c r="BZ174" s="8"/>
      <c r="CA174" s="8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</row>
    <row r="175" spans="2:183" s="76" customFormat="1" ht="12" customHeight="1">
      <c r="B175" s="223"/>
      <c r="C175" s="223"/>
      <c r="D175" s="724" t="s">
        <v>312</v>
      </c>
      <c r="E175" s="724"/>
      <c r="F175" s="724"/>
      <c r="G175" s="724"/>
      <c r="H175" s="724"/>
      <c r="I175" s="724"/>
      <c r="J175" s="724"/>
      <c r="K175" s="724"/>
      <c r="L175" s="724"/>
      <c r="M175" s="724"/>
      <c r="N175" s="724"/>
      <c r="O175" s="724"/>
      <c r="P175" s="724"/>
      <c r="Q175" s="724"/>
      <c r="R175" s="724"/>
      <c r="S175" s="724"/>
      <c r="T175" s="8"/>
      <c r="U175" s="701" t="str">
        <f>AQ173&amp;" * " &amp; AI173 &amp;" = " &amp;ROUND(AQ173*AI173,3)</f>
        <v>0.54 * 1 = 0.54</v>
      </c>
      <c r="V175" s="701"/>
      <c r="W175" s="701"/>
      <c r="X175" s="701"/>
      <c r="Y175" s="701"/>
      <c r="Z175" s="701"/>
      <c r="AA175" s="701"/>
      <c r="AB175" s="701"/>
      <c r="AC175" s="701"/>
      <c r="AD175" s="8"/>
      <c r="AE175" s="8"/>
      <c r="AF175" s="8"/>
      <c r="AG175" s="8"/>
      <c r="AH175" s="8"/>
      <c r="AI175" s="8"/>
      <c r="AK175" s="374"/>
      <c r="AL175" s="374"/>
      <c r="AM175" s="8"/>
      <c r="AN175" s="8"/>
      <c r="AO175" s="8"/>
      <c r="AP175" s="6"/>
      <c r="AQ175" s="715">
        <f>AQ173*AI173</f>
        <v>0.54</v>
      </c>
      <c r="AR175" s="714" t="s">
        <v>273</v>
      </c>
      <c r="AS175" s="180"/>
      <c r="AT175" s="80"/>
      <c r="AU175" s="80"/>
      <c r="AV175" s="183">
        <v>3.42</v>
      </c>
      <c r="AW175" s="185">
        <f t="shared" si="13"/>
        <v>0.15204678362573101</v>
      </c>
      <c r="AX175" s="201">
        <f t="shared" si="11"/>
        <v>0.15204678362573101</v>
      </c>
      <c r="AY175" s="187">
        <v>1.71</v>
      </c>
      <c r="AZ175" s="189">
        <f t="shared" si="14"/>
        <v>0.26568187252583758</v>
      </c>
      <c r="BA175" s="202">
        <f t="shared" si="12"/>
        <v>0.26568187252583758</v>
      </c>
      <c r="BB175" s="202">
        <f t="shared" si="15"/>
        <v>1.3</v>
      </c>
      <c r="BC175" s="181"/>
      <c r="BD175" s="349"/>
      <c r="BE175" s="349"/>
      <c r="BF175" s="349"/>
      <c r="BG175" s="349"/>
      <c r="BH175" s="349"/>
      <c r="BI175" s="349"/>
      <c r="BJ175" s="349"/>
      <c r="BK175" s="349"/>
      <c r="BL175" s="349"/>
      <c r="BM175" s="349"/>
      <c r="BN175" s="349"/>
      <c r="BS175" s="8"/>
      <c r="BU175" s="8"/>
      <c r="BV175" s="8"/>
      <c r="BW175" s="8"/>
      <c r="BX175" s="8"/>
      <c r="BY175" s="8"/>
      <c r="BZ175" s="8"/>
      <c r="CA175" s="8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</row>
    <row r="176" spans="2:183" s="76" customFormat="1" ht="12" customHeight="1">
      <c r="B176" s="223"/>
      <c r="C176" s="223"/>
      <c r="D176" s="724"/>
      <c r="E176" s="724"/>
      <c r="F176" s="724"/>
      <c r="G176" s="724"/>
      <c r="H176" s="724"/>
      <c r="I176" s="724"/>
      <c r="J176" s="724"/>
      <c r="K176" s="724"/>
      <c r="L176" s="724"/>
      <c r="M176" s="724"/>
      <c r="N176" s="724"/>
      <c r="O176" s="724"/>
      <c r="P176" s="724"/>
      <c r="Q176" s="724"/>
      <c r="R176" s="724"/>
      <c r="S176" s="724"/>
      <c r="T176" s="8"/>
      <c r="U176" s="701"/>
      <c r="V176" s="701"/>
      <c r="W176" s="701"/>
      <c r="X176" s="701"/>
      <c r="Y176" s="701"/>
      <c r="Z176" s="701"/>
      <c r="AA176" s="701"/>
      <c r="AB176" s="701"/>
      <c r="AC176" s="701"/>
      <c r="AD176" s="8"/>
      <c r="AE176" s="8"/>
      <c r="AF176" s="8"/>
      <c r="AG176" s="8"/>
      <c r="AH176" s="8"/>
      <c r="AI176" s="8"/>
      <c r="AJ176" s="374"/>
      <c r="AK176" s="374"/>
      <c r="AL176" s="374"/>
      <c r="AM176" s="8"/>
      <c r="AN176" s="8"/>
      <c r="AO176" s="8"/>
      <c r="AP176" s="6"/>
      <c r="AQ176" s="715"/>
      <c r="AR176" s="714"/>
      <c r="AS176" s="180"/>
      <c r="AT176" s="80"/>
      <c r="AU176" s="80"/>
      <c r="AV176" s="183">
        <v>3.44</v>
      </c>
      <c r="AW176" s="185">
        <f t="shared" si="13"/>
        <v>0.15116279069767444</v>
      </c>
      <c r="AX176" s="201">
        <f t="shared" si="11"/>
        <v>0.15116279069767444</v>
      </c>
      <c r="AY176" s="187">
        <v>1.72</v>
      </c>
      <c r="AZ176" s="189">
        <f t="shared" si="14"/>
        <v>0.26568187252583758</v>
      </c>
      <c r="BA176" s="202">
        <f t="shared" si="12"/>
        <v>0.26568187252583758</v>
      </c>
      <c r="BB176" s="202">
        <f t="shared" si="15"/>
        <v>1.3</v>
      </c>
      <c r="BC176" s="181"/>
      <c r="BD176" s="349"/>
      <c r="BE176" s="349"/>
      <c r="BF176" s="349"/>
      <c r="BG176" s="349"/>
      <c r="BH176" s="349"/>
      <c r="BI176" s="349"/>
      <c r="BJ176" s="349"/>
      <c r="BK176" s="349"/>
      <c r="BL176" s="349"/>
      <c r="BM176" s="349"/>
      <c r="BN176" s="349"/>
      <c r="BS176" s="8"/>
      <c r="BU176" s="8"/>
      <c r="BV176" s="8"/>
      <c r="BW176" s="8"/>
      <c r="BX176" s="8"/>
      <c r="BY176" s="8"/>
      <c r="BZ176" s="8"/>
      <c r="CA176" s="8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</row>
    <row r="177" spans="2:183" s="76" customFormat="1" ht="12" customHeight="1">
      <c r="B177" s="689" t="s">
        <v>199</v>
      </c>
      <c r="C177" s="690"/>
      <c r="D177" s="717" t="s">
        <v>244</v>
      </c>
      <c r="E177" s="717"/>
      <c r="F177" s="717"/>
      <c r="G177" s="717"/>
      <c r="H177" s="717"/>
      <c r="I177" s="717"/>
      <c r="J177" s="717"/>
      <c r="K177" s="717"/>
      <c r="L177" s="717"/>
      <c r="M177" s="717"/>
      <c r="N177" s="717"/>
      <c r="O177" s="717"/>
      <c r="P177" s="717"/>
      <c r="Q177" s="717"/>
      <c r="R177" s="717"/>
      <c r="S177" s="717"/>
      <c r="T177" s="717"/>
      <c r="U177" s="717"/>
      <c r="V177" s="717"/>
      <c r="W177" s="717"/>
      <c r="X177" s="264"/>
      <c r="Y177" s="264"/>
      <c r="Z177" s="264"/>
      <c r="AA177" s="264"/>
      <c r="AB177" s="264"/>
      <c r="AC177" s="264"/>
      <c r="AD177" s="264"/>
      <c r="AE177" s="264"/>
      <c r="AF177" s="257"/>
      <c r="AG177" s="19"/>
      <c r="AH177" s="262"/>
      <c r="AI177" s="262"/>
      <c r="AJ177" s="262"/>
      <c r="AK177" s="262"/>
      <c r="AL177" s="263"/>
      <c r="AM177" s="263"/>
      <c r="AN177" s="263"/>
      <c r="AO177" s="263"/>
      <c r="AP177" s="372"/>
      <c r="AQ177" s="179"/>
      <c r="AR177" s="180"/>
      <c r="AS177" s="180"/>
      <c r="AT177" s="80"/>
      <c r="AU177" s="80"/>
      <c r="AV177" s="183">
        <v>3.46</v>
      </c>
      <c r="AW177" s="185">
        <f t="shared" si="13"/>
        <v>0.15028901734104047</v>
      </c>
      <c r="AX177" s="201">
        <f t="shared" si="11"/>
        <v>0.15028901734104047</v>
      </c>
      <c r="AY177" s="187">
        <v>1.73</v>
      </c>
      <c r="AZ177" s="189">
        <f t="shared" si="14"/>
        <v>0.26568187252583758</v>
      </c>
      <c r="BA177" s="202">
        <f t="shared" si="12"/>
        <v>0.26568187252583758</v>
      </c>
      <c r="BB177" s="202">
        <f t="shared" si="15"/>
        <v>1.3</v>
      </c>
      <c r="BC177" s="181"/>
      <c r="BD177" s="349"/>
      <c r="BE177" s="349"/>
      <c r="BF177" s="349"/>
      <c r="BG177" s="349"/>
      <c r="BH177" s="349"/>
      <c r="BI177" s="349"/>
      <c r="BJ177" s="349"/>
      <c r="BK177" s="349"/>
      <c r="BL177" s="349"/>
      <c r="BM177" s="349"/>
      <c r="BN177" s="349"/>
      <c r="BS177" s="8"/>
      <c r="BU177" s="8"/>
      <c r="BV177" s="8"/>
      <c r="BW177" s="8"/>
      <c r="BX177" s="8"/>
      <c r="BY177" s="8"/>
      <c r="BZ177" s="8"/>
      <c r="CA177" s="8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</row>
    <row r="178" spans="2:183" s="76" customFormat="1" ht="12" customHeight="1">
      <c r="B178" s="690"/>
      <c r="C178" s="690"/>
      <c r="D178" s="717"/>
      <c r="E178" s="717"/>
      <c r="F178" s="717"/>
      <c r="G178" s="717"/>
      <c r="H178" s="717"/>
      <c r="I178" s="717"/>
      <c r="J178" s="717"/>
      <c r="K178" s="717"/>
      <c r="L178" s="717"/>
      <c r="M178" s="717"/>
      <c r="N178" s="717"/>
      <c r="O178" s="717"/>
      <c r="P178" s="717"/>
      <c r="Q178" s="717"/>
      <c r="R178" s="717"/>
      <c r="S178" s="717"/>
      <c r="T178" s="717"/>
      <c r="U178" s="717"/>
      <c r="V178" s="717"/>
      <c r="W178" s="717"/>
      <c r="X178" s="264"/>
      <c r="Y178" s="264"/>
      <c r="Z178" s="264"/>
      <c r="AA178" s="264"/>
      <c r="AB178" s="264"/>
      <c r="AC178" s="264"/>
      <c r="AD178" s="264"/>
      <c r="AE178" s="264"/>
      <c r="AF178" s="257"/>
      <c r="AG178" s="19"/>
      <c r="AH178" s="262"/>
      <c r="AI178" s="262"/>
      <c r="AJ178" s="262"/>
      <c r="AK178" s="262"/>
      <c r="AL178" s="263"/>
      <c r="AM178" s="263"/>
      <c r="AN178" s="263"/>
      <c r="AO178" s="263"/>
      <c r="AP178" s="372"/>
      <c r="AQ178" s="179"/>
      <c r="AR178" s="180"/>
      <c r="AS178" s="180"/>
      <c r="AT178" s="80"/>
      <c r="AU178" s="80"/>
      <c r="AV178" s="183">
        <v>3.48</v>
      </c>
      <c r="AW178" s="185">
        <f t="shared" si="13"/>
        <v>0.14942528735632185</v>
      </c>
      <c r="AX178" s="201">
        <f t="shared" si="11"/>
        <v>0.14942528735632185</v>
      </c>
      <c r="AY178" s="187">
        <v>1.74</v>
      </c>
      <c r="AZ178" s="189">
        <f t="shared" si="14"/>
        <v>0.26568187252583758</v>
      </c>
      <c r="BA178" s="202">
        <f t="shared" si="12"/>
        <v>0.26568187252583758</v>
      </c>
      <c r="BB178" s="202">
        <f t="shared" si="15"/>
        <v>1.3</v>
      </c>
      <c r="BC178" s="181"/>
      <c r="BD178" s="349"/>
      <c r="BE178" s="349"/>
      <c r="BF178" s="349"/>
      <c r="BG178" s="349"/>
      <c r="BH178" s="349"/>
      <c r="BI178" s="349"/>
      <c r="BJ178" s="349"/>
      <c r="BK178" s="349"/>
      <c r="BL178" s="349"/>
      <c r="BM178" s="349"/>
      <c r="BN178" s="349"/>
      <c r="BS178" s="8"/>
      <c r="BU178" s="8"/>
      <c r="BV178" s="8"/>
      <c r="BW178" s="8"/>
      <c r="BX178" s="8"/>
      <c r="BY178" s="8"/>
      <c r="BZ178" s="8"/>
      <c r="CA178" s="8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</row>
    <row r="179" spans="2:183" s="76" customFormat="1" ht="12" customHeight="1">
      <c r="B179" s="689" t="s">
        <v>199</v>
      </c>
      <c r="C179" s="690"/>
      <c r="D179" s="720" t="s">
        <v>218</v>
      </c>
      <c r="E179" s="720"/>
      <c r="F179" s="720"/>
      <c r="G179" s="720"/>
      <c r="H179" s="720"/>
      <c r="I179" s="720"/>
      <c r="J179" s="720"/>
      <c r="K179" s="720"/>
      <c r="L179" s="720"/>
      <c r="M179" s="720"/>
      <c r="N179" s="720"/>
      <c r="O179" s="720"/>
      <c r="P179" s="720"/>
      <c r="Q179" s="720"/>
      <c r="R179" s="720"/>
      <c r="S179" s="720"/>
      <c r="T179" s="720"/>
      <c r="U179" s="720"/>
      <c r="V179" s="720"/>
      <c r="W179" s="694" t="str">
        <f>IF(AQ19=6,"در زمین نوع ۶ تعریف نشده است.","")</f>
        <v/>
      </c>
      <c r="X179" s="694"/>
      <c r="Y179" s="694"/>
      <c r="Z179" s="694"/>
      <c r="AA179" s="694"/>
      <c r="AB179" s="694"/>
      <c r="AC179" s="694"/>
      <c r="AD179" s="694"/>
      <c r="AE179" s="694"/>
      <c r="AF179" s="694"/>
      <c r="AG179" s="694"/>
      <c r="AH179" s="694"/>
      <c r="AI179" s="701">
        <f>IF(AQ19=6,0,IF(AND(OR(AQ88&gt;0.2,AQ88=0.2),OR(AQ88&lt;0.3,AQ88=0.3)),LOOKUP(AQ19,BN123:BN127,BE123:BE127),IF(AND(AQ88&gt;0.3,OR(AQ88&lt;0.6,AQ88=0.6)),LOOKUP(AQ19,BN123:BN127,BG123:BG127),IF(AND(AQ88&gt;0.6,OR(AQ88&lt;1,AQ88=1)),LOOKUP(AQ19,BN123:BN127,BI123:BI127),IF(AND(AQ88&gt;1,OR(AQ88&lt;2,AQ88=2)),LOOKUP(AQ19,BN123:BN127,BK123:BK127),"Error")))))</f>
        <v>1.1700000000000002</v>
      </c>
      <c r="AJ179" s="701"/>
      <c r="AK179" s="701"/>
      <c r="AL179" s="701"/>
      <c r="AM179" s="8"/>
      <c r="AN179" s="8"/>
      <c r="AO179" s="8"/>
      <c r="AP179" s="6"/>
      <c r="AQ179" s="179"/>
      <c r="AR179" s="180"/>
      <c r="AS179" s="200"/>
      <c r="AT179" s="80"/>
      <c r="AU179" s="80"/>
      <c r="AV179" s="183">
        <v>3.5</v>
      </c>
      <c r="AW179" s="185">
        <f t="shared" si="13"/>
        <v>0.14857142857142858</v>
      </c>
      <c r="AX179" s="201">
        <f t="shared" si="11"/>
        <v>0.14857142857142858</v>
      </c>
      <c r="AY179" s="187">
        <v>1.75</v>
      </c>
      <c r="AZ179" s="189">
        <f t="shared" si="14"/>
        <v>0.26568187252583758</v>
      </c>
      <c r="BA179" s="202">
        <f t="shared" si="12"/>
        <v>0.26568187252583758</v>
      </c>
      <c r="BB179" s="202">
        <f t="shared" si="15"/>
        <v>1.3</v>
      </c>
      <c r="BC179" s="181"/>
      <c r="BD179" s="349"/>
      <c r="BE179" s="349"/>
      <c r="BF179" s="349"/>
      <c r="BG179" s="349"/>
      <c r="BH179" s="349"/>
      <c r="BI179" s="349"/>
      <c r="BJ179" s="349"/>
      <c r="BK179" s="349"/>
      <c r="BL179" s="349"/>
      <c r="BM179" s="349"/>
      <c r="BN179" s="349"/>
      <c r="BS179" s="8"/>
      <c r="BU179" s="8"/>
      <c r="BV179" s="8"/>
      <c r="BW179" s="8"/>
      <c r="BX179" s="8"/>
      <c r="BY179" s="8"/>
      <c r="BZ179" s="8"/>
      <c r="CA179" s="8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</row>
    <row r="180" spans="2:183" s="76" customFormat="1" ht="12" customHeight="1">
      <c r="B180" s="690"/>
      <c r="C180" s="690"/>
      <c r="D180" s="720"/>
      <c r="E180" s="720"/>
      <c r="F180" s="720"/>
      <c r="G180" s="720"/>
      <c r="H180" s="720"/>
      <c r="I180" s="720"/>
      <c r="J180" s="720"/>
      <c r="K180" s="720"/>
      <c r="L180" s="720"/>
      <c r="M180" s="720"/>
      <c r="N180" s="720"/>
      <c r="O180" s="720"/>
      <c r="P180" s="720"/>
      <c r="Q180" s="720"/>
      <c r="R180" s="720"/>
      <c r="S180" s="720"/>
      <c r="T180" s="720"/>
      <c r="U180" s="720"/>
      <c r="V180" s="720"/>
      <c r="W180" s="694"/>
      <c r="X180" s="694"/>
      <c r="Y180" s="694"/>
      <c r="Z180" s="694"/>
      <c r="AA180" s="694"/>
      <c r="AB180" s="694"/>
      <c r="AC180" s="694"/>
      <c r="AD180" s="694"/>
      <c r="AE180" s="694"/>
      <c r="AF180" s="694"/>
      <c r="AG180" s="694"/>
      <c r="AH180" s="694"/>
      <c r="AI180" s="701"/>
      <c r="AJ180" s="701"/>
      <c r="AK180" s="701"/>
      <c r="AL180" s="701"/>
      <c r="AM180" s="8"/>
      <c r="AN180" s="8"/>
      <c r="AO180" s="8"/>
      <c r="AP180" s="6"/>
      <c r="AS180" s="200"/>
      <c r="AT180" s="80"/>
      <c r="AU180" s="80"/>
      <c r="AV180" s="183">
        <v>3.52</v>
      </c>
      <c r="AW180" s="185">
        <f t="shared" si="13"/>
        <v>0.14772727272727273</v>
      </c>
      <c r="AX180" s="201">
        <f t="shared" si="11"/>
        <v>0.14772727272727273</v>
      </c>
      <c r="AY180" s="187">
        <v>1.76</v>
      </c>
      <c r="AZ180" s="189">
        <f t="shared" si="14"/>
        <v>0.26568187252583758</v>
      </c>
      <c r="BA180" s="202">
        <f t="shared" si="12"/>
        <v>0.26568187252583758</v>
      </c>
      <c r="BB180" s="202">
        <f t="shared" si="15"/>
        <v>1.3</v>
      </c>
      <c r="BC180" s="181"/>
      <c r="BD180" s="349"/>
      <c r="BE180" s="349"/>
      <c r="BF180" s="349"/>
      <c r="BG180" s="349"/>
      <c r="BH180" s="349"/>
      <c r="BI180" s="349"/>
      <c r="BJ180" s="349"/>
      <c r="BK180" s="349"/>
      <c r="BL180" s="349"/>
      <c r="BM180" s="349"/>
      <c r="BN180" s="349"/>
      <c r="BS180" s="8"/>
      <c r="BU180" s="8"/>
      <c r="BV180" s="8"/>
      <c r="BW180" s="8"/>
      <c r="BX180" s="8"/>
      <c r="BY180" s="8"/>
      <c r="BZ180" s="8"/>
      <c r="CA180" s="8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</row>
    <row r="181" spans="2:183" s="76" customFormat="1" ht="12" customHeight="1">
      <c r="B181" s="223"/>
      <c r="C181" s="223"/>
      <c r="D181" s="75"/>
      <c r="E181" s="75"/>
      <c r="F181" s="914">
        <f>IF(OR(AJ181&lt;0.025,AJ181=0.025),0.65*AI$179*(AJ$108/T181),IF(AND(AJ181&gt;0.025,OR(AJ181&lt;0.05,AJ181=0.05)),(16*AI$179*(AJ$108/T181)*(AJ181-0.025))+(0.65*AI$179*(AJ$108/T181)),IF(AND(AJ181&gt;0.05,OR(AJ181&lt;0.1,AJ181=0.1)),1.05*AI$179*AJ$108/T181,IF(AND(AJ181&gt;0.1,OR(AJ181&lt;2,AJ181=2)),MAX(0.5*AJ$108/T181,(1.05*AI$179*AJ$108/T181)*((0.1/AJ181)^0.5)),IF(AJ181&gt;2,0.5*AJ$108/T181,"Error")))))</f>
        <v>0.52533276654533878</v>
      </c>
      <c r="G181" s="914"/>
      <c r="H181" s="914"/>
      <c r="I181" s="914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734">
        <f>IF(OR(AJ181&lt;0.2,AJ181=0.2),1,IF(AND(AJ181&gt;0.2,OR(AJ181&lt;1,AJ181=1)),(1+(0.375*(AJ181-0.2))),IF(AND(AJ181&gt;1,OR(AJ181&lt;10,AJ181=10)),1.3,"Error")))</f>
        <v>1</v>
      </c>
      <c r="U181" s="734"/>
      <c r="V181" s="734"/>
      <c r="W181" s="734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J181" s="915">
        <v>0.02</v>
      </c>
      <c r="AK181" s="915"/>
      <c r="AL181" s="915"/>
      <c r="AP181" s="6"/>
      <c r="AQ181" s="179"/>
      <c r="AR181" s="180"/>
      <c r="AS181" s="180"/>
      <c r="AT181" s="80"/>
      <c r="AU181" s="80"/>
      <c r="AV181" s="183">
        <v>3.54</v>
      </c>
      <c r="AW181" s="185">
        <f t="shared" si="13"/>
        <v>0.14689265536723164</v>
      </c>
      <c r="AX181" s="201">
        <f t="shared" si="11"/>
        <v>0.14689265536723164</v>
      </c>
      <c r="AY181" s="187">
        <v>1.77</v>
      </c>
      <c r="AZ181" s="189">
        <f t="shared" si="14"/>
        <v>0.26568187252583758</v>
      </c>
      <c r="BA181" s="202">
        <f t="shared" si="12"/>
        <v>0.26568187252583758</v>
      </c>
      <c r="BB181" s="202">
        <f t="shared" si="15"/>
        <v>1.3</v>
      </c>
      <c r="BC181" s="181"/>
      <c r="BD181" s="349"/>
      <c r="BE181" s="349"/>
      <c r="BF181" s="349"/>
      <c r="BG181" s="349"/>
      <c r="BH181" s="349"/>
      <c r="BI181" s="349"/>
      <c r="BJ181" s="349"/>
      <c r="BK181" s="349"/>
      <c r="BL181" s="349"/>
      <c r="BM181" s="349"/>
      <c r="BN181" s="349"/>
      <c r="BS181" s="8"/>
      <c r="BU181" s="8"/>
      <c r="BV181" s="8"/>
      <c r="BW181" s="8"/>
      <c r="BX181" s="8"/>
      <c r="BY181" s="8"/>
      <c r="BZ181" s="8"/>
      <c r="CA181" s="8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</row>
    <row r="182" spans="2:183" s="76" customFormat="1" ht="12" customHeight="1">
      <c r="B182" s="223"/>
      <c r="C182" s="223"/>
      <c r="D182" s="75"/>
      <c r="E182" s="75"/>
      <c r="F182" s="914"/>
      <c r="G182" s="914"/>
      <c r="H182" s="914"/>
      <c r="I182" s="914"/>
      <c r="M182" s="8"/>
      <c r="N182" s="8"/>
      <c r="O182" s="8"/>
      <c r="P182" s="8"/>
      <c r="Q182" s="8"/>
      <c r="R182" s="8"/>
      <c r="S182" s="8"/>
      <c r="T182" s="734"/>
      <c r="U182" s="734"/>
      <c r="V182" s="734"/>
      <c r="W182" s="734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J182" s="915"/>
      <c r="AK182" s="915"/>
      <c r="AL182" s="915"/>
      <c r="AP182" s="6"/>
      <c r="AQ182" s="179"/>
      <c r="AR182" s="180"/>
      <c r="AS182" s="180"/>
      <c r="AT182" s="80"/>
      <c r="AU182" s="80"/>
      <c r="AV182" s="183">
        <v>3.56</v>
      </c>
      <c r="AW182" s="185">
        <f t="shared" si="13"/>
        <v>0.14606741573033707</v>
      </c>
      <c r="AX182" s="201">
        <f t="shared" si="11"/>
        <v>0.14606741573033707</v>
      </c>
      <c r="AY182" s="187">
        <v>1.78</v>
      </c>
      <c r="AZ182" s="189">
        <f t="shared" si="14"/>
        <v>0.26568187252583758</v>
      </c>
      <c r="BA182" s="202">
        <f t="shared" si="12"/>
        <v>0.26568187252583758</v>
      </c>
      <c r="BB182" s="202">
        <f t="shared" si="15"/>
        <v>1.3</v>
      </c>
      <c r="BC182" s="181"/>
      <c r="BD182" s="349"/>
      <c r="BE182" s="349"/>
      <c r="BF182" s="349"/>
      <c r="BG182" s="349"/>
      <c r="BH182" s="349"/>
      <c r="BI182" s="349"/>
      <c r="BJ182" s="349"/>
      <c r="BK182" s="349"/>
      <c r="BL182" s="349"/>
      <c r="BM182" s="349"/>
      <c r="BN182" s="349"/>
      <c r="BS182" s="8"/>
      <c r="BU182" s="8"/>
      <c r="BV182" s="8"/>
      <c r="BW182" s="8"/>
      <c r="BX182" s="8"/>
      <c r="BY182" s="8"/>
      <c r="BZ182" s="8"/>
      <c r="CA182" s="8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</row>
    <row r="183" spans="2:183" s="76" customFormat="1" ht="12" customHeight="1">
      <c r="B183" s="8"/>
      <c r="C183" s="8"/>
      <c r="D183" s="75"/>
      <c r="E183" s="75"/>
      <c r="F183" s="75"/>
      <c r="G183" s="75"/>
      <c r="H183" s="75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P183" s="6"/>
      <c r="AQ183" s="179"/>
      <c r="AR183" s="180"/>
      <c r="AS183" s="180"/>
      <c r="AT183" s="80"/>
      <c r="AU183" s="80"/>
      <c r="AV183" s="183">
        <v>3.58</v>
      </c>
      <c r="AW183" s="185">
        <f t="shared" si="13"/>
        <v>0.14525139664804471</v>
      </c>
      <c r="AX183" s="201">
        <f t="shared" si="11"/>
        <v>0.14525139664804471</v>
      </c>
      <c r="AY183" s="187">
        <v>1.79</v>
      </c>
      <c r="AZ183" s="189">
        <f t="shared" si="14"/>
        <v>0.26568187252583758</v>
      </c>
      <c r="BA183" s="202">
        <f t="shared" si="12"/>
        <v>0.26568187252583758</v>
      </c>
      <c r="BB183" s="202">
        <f t="shared" si="15"/>
        <v>1.3</v>
      </c>
      <c r="BC183" s="181"/>
      <c r="BD183" s="349"/>
      <c r="BE183" s="349"/>
      <c r="BF183" s="349"/>
      <c r="BG183" s="349"/>
      <c r="BH183" s="349"/>
      <c r="BI183" s="349"/>
      <c r="BJ183" s="349"/>
      <c r="BK183" s="349"/>
      <c r="BL183" s="349"/>
      <c r="BM183" s="349"/>
      <c r="BN183" s="349"/>
      <c r="BS183" s="8"/>
      <c r="BU183" s="8"/>
      <c r="BV183" s="8"/>
      <c r="BW183" s="8"/>
      <c r="BX183" s="8"/>
      <c r="BY183" s="8"/>
      <c r="BZ183" s="8"/>
      <c r="CA183" s="8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</row>
    <row r="184" spans="2:183" s="76" customFormat="1" ht="12" customHeight="1">
      <c r="B184" s="678" t="str">
        <f>AJ9</f>
        <v>Ver: 2.0.0</v>
      </c>
      <c r="C184" s="678"/>
      <c r="D184" s="678"/>
      <c r="E184" s="678"/>
      <c r="F184" s="678"/>
      <c r="G184" s="678"/>
      <c r="H184" s="678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6"/>
      <c r="Z184" s="176"/>
      <c r="AA184" s="176"/>
      <c r="AB184" s="93"/>
      <c r="AC184" s="93"/>
      <c r="AD184" s="177"/>
      <c r="AE184" s="177"/>
      <c r="AF184" s="177"/>
      <c r="AG184" s="177"/>
      <c r="AH184" s="177"/>
      <c r="AI184" s="678" t="s">
        <v>248</v>
      </c>
      <c r="AJ184" s="678"/>
      <c r="AK184" s="678"/>
      <c r="AL184" s="678"/>
      <c r="AM184" s="678"/>
      <c r="AN184" s="678"/>
      <c r="AO184" s="678"/>
      <c r="AP184" s="678"/>
      <c r="AQ184" s="179"/>
      <c r="AR184" s="180"/>
      <c r="AS184" s="180"/>
      <c r="AT184" s="80"/>
      <c r="AU184" s="80"/>
      <c r="AV184" s="183">
        <v>3.6</v>
      </c>
      <c r="AW184" s="185">
        <f t="shared" si="13"/>
        <v>0.14444444444444446</v>
      </c>
      <c r="AX184" s="201">
        <f t="shared" si="11"/>
        <v>0.14444444444444446</v>
      </c>
      <c r="AY184" s="187">
        <v>1.8</v>
      </c>
      <c r="AZ184" s="189">
        <f t="shared" si="14"/>
        <v>0.26568187252583758</v>
      </c>
      <c r="BA184" s="202">
        <f t="shared" si="12"/>
        <v>0.26568187252583758</v>
      </c>
      <c r="BB184" s="202">
        <f t="shared" si="15"/>
        <v>1.3</v>
      </c>
      <c r="BC184" s="181"/>
      <c r="BD184" s="349"/>
      <c r="BE184" s="349"/>
      <c r="BF184" s="349"/>
      <c r="BG184" s="349"/>
      <c r="BH184" s="349"/>
      <c r="BI184" s="349"/>
      <c r="BJ184" s="349"/>
      <c r="BK184" s="349"/>
      <c r="BL184" s="349"/>
      <c r="BM184" s="349"/>
      <c r="BN184" s="349"/>
      <c r="BS184" s="8"/>
      <c r="BU184" s="8"/>
      <c r="BV184" s="8"/>
      <c r="BW184" s="8"/>
      <c r="BX184" s="8"/>
      <c r="BY184" s="8"/>
      <c r="BZ184" s="8"/>
      <c r="CA184" s="8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</row>
    <row r="185" spans="2:183" s="76" customFormat="1" ht="12" customHeight="1">
      <c r="AP185" s="6"/>
      <c r="AQ185" s="179"/>
      <c r="AR185" s="180"/>
      <c r="AS185" s="180"/>
      <c r="AT185" s="80"/>
      <c r="AU185" s="80"/>
      <c r="AV185" s="183">
        <v>3.62</v>
      </c>
      <c r="AW185" s="185">
        <f t="shared" si="13"/>
        <v>0.143646408839779</v>
      </c>
      <c r="AX185" s="201">
        <f t="shared" si="11"/>
        <v>0.143646408839779</v>
      </c>
      <c r="AY185" s="187">
        <v>1.81</v>
      </c>
      <c r="AZ185" s="189">
        <f t="shared" si="14"/>
        <v>0.26568187252583758</v>
      </c>
      <c r="BA185" s="202">
        <f t="shared" si="12"/>
        <v>0.26568187252583758</v>
      </c>
      <c r="BB185" s="202">
        <f t="shared" si="15"/>
        <v>1.3</v>
      </c>
      <c r="BC185" s="181"/>
      <c r="BD185" s="349"/>
      <c r="BE185" s="349"/>
      <c r="BF185" s="349"/>
      <c r="BG185" s="349"/>
      <c r="BH185" s="349"/>
      <c r="BI185" s="349"/>
      <c r="BJ185" s="349"/>
      <c r="BK185" s="349"/>
      <c r="BL185" s="349"/>
      <c r="BM185" s="349"/>
      <c r="BN185" s="349"/>
      <c r="BS185" s="8"/>
      <c r="BU185" s="8"/>
      <c r="BV185" s="8"/>
      <c r="BW185" s="8"/>
      <c r="BX185" s="8"/>
      <c r="BY185" s="8"/>
      <c r="BZ185" s="8"/>
      <c r="CA185" s="8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</row>
    <row r="186" spans="2:183" s="76" customFormat="1" ht="12" customHeight="1">
      <c r="AP186" s="6"/>
      <c r="AQ186" s="179"/>
      <c r="AR186" s="180"/>
      <c r="AS186" s="180"/>
      <c r="AT186" s="80"/>
      <c r="AU186" s="80"/>
      <c r="AV186" s="183">
        <v>3.64</v>
      </c>
      <c r="AW186" s="185">
        <f t="shared" si="13"/>
        <v>0.14285714285714285</v>
      </c>
      <c r="AX186" s="201">
        <f t="shared" si="11"/>
        <v>0.14285714285714285</v>
      </c>
      <c r="AY186" s="187">
        <v>1.82</v>
      </c>
      <c r="AZ186" s="189">
        <f t="shared" si="14"/>
        <v>0.26568187252583758</v>
      </c>
      <c r="BA186" s="202">
        <f t="shared" si="12"/>
        <v>0.26568187252583758</v>
      </c>
      <c r="BB186" s="202">
        <f t="shared" si="15"/>
        <v>1.3</v>
      </c>
      <c r="BC186" s="181"/>
      <c r="BD186" s="349"/>
      <c r="BE186" s="349"/>
      <c r="BF186" s="349"/>
      <c r="BG186" s="349"/>
      <c r="BH186" s="349"/>
      <c r="BI186" s="349"/>
      <c r="BJ186" s="349"/>
      <c r="BK186" s="349"/>
      <c r="BL186" s="349"/>
      <c r="BM186" s="349"/>
      <c r="BN186" s="349"/>
      <c r="BS186" s="8"/>
      <c r="BU186" s="8"/>
      <c r="BV186" s="8"/>
      <c r="BW186" s="8"/>
      <c r="BX186" s="8"/>
      <c r="BY186" s="8"/>
      <c r="BZ186" s="8"/>
      <c r="CA186" s="8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</row>
    <row r="187" spans="2:183" s="76" customFormat="1" ht="12" customHeight="1">
      <c r="AP187" s="6"/>
      <c r="AQ187" s="179"/>
      <c r="AR187" s="180"/>
      <c r="AS187" s="180"/>
      <c r="AT187" s="80"/>
      <c r="AU187" s="80"/>
      <c r="AV187" s="183">
        <v>3.66</v>
      </c>
      <c r="AW187" s="185">
        <f t="shared" si="13"/>
        <v>0.14207650273224043</v>
      </c>
      <c r="AX187" s="201">
        <f t="shared" si="11"/>
        <v>0.14207650273224043</v>
      </c>
      <c r="AY187" s="187">
        <v>1.83</v>
      </c>
      <c r="AZ187" s="189">
        <f t="shared" si="14"/>
        <v>0.26568187252583758</v>
      </c>
      <c r="BA187" s="202">
        <f t="shared" si="12"/>
        <v>0.26568187252583758</v>
      </c>
      <c r="BB187" s="202">
        <f t="shared" si="15"/>
        <v>1.3</v>
      </c>
      <c r="BC187" s="181"/>
      <c r="BD187" s="349"/>
      <c r="BE187" s="349"/>
      <c r="BF187" s="349"/>
      <c r="BG187" s="349"/>
      <c r="BH187" s="349"/>
      <c r="BI187" s="349"/>
      <c r="BJ187" s="349"/>
      <c r="BK187" s="349"/>
      <c r="BL187" s="349"/>
      <c r="BM187" s="349"/>
      <c r="BN187" s="349"/>
      <c r="BS187" s="8"/>
      <c r="BU187" s="8"/>
      <c r="BV187" s="8"/>
      <c r="BW187" s="8"/>
      <c r="BX187" s="8"/>
      <c r="BY187" s="8"/>
      <c r="BZ187" s="8"/>
      <c r="CA187" s="8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</row>
    <row r="188" spans="2:183" s="76" customFormat="1" ht="12" customHeight="1">
      <c r="AP188" s="6"/>
      <c r="AQ188" s="179"/>
      <c r="AR188" s="180"/>
      <c r="AS188" s="180"/>
      <c r="AT188" s="80"/>
      <c r="AU188" s="80"/>
      <c r="AV188" s="183">
        <v>3.68</v>
      </c>
      <c r="AW188" s="185">
        <f t="shared" si="13"/>
        <v>0.14130434782608695</v>
      </c>
      <c r="AX188" s="201">
        <f t="shared" si="11"/>
        <v>0.14130434782608695</v>
      </c>
      <c r="AY188" s="187">
        <v>1.84</v>
      </c>
      <c r="AZ188" s="189">
        <f t="shared" si="14"/>
        <v>0.26568187252583758</v>
      </c>
      <c r="BA188" s="202">
        <f t="shared" si="12"/>
        <v>0.26568187252583758</v>
      </c>
      <c r="BB188" s="202">
        <f t="shared" si="15"/>
        <v>1.3</v>
      </c>
      <c r="BC188" s="209"/>
      <c r="BD188" s="349"/>
      <c r="BE188" s="349"/>
      <c r="BF188" s="349"/>
      <c r="BG188" s="349"/>
      <c r="BH188" s="349"/>
      <c r="BI188" s="349"/>
      <c r="BJ188" s="349"/>
      <c r="BK188" s="349"/>
      <c r="BL188" s="349"/>
      <c r="BM188" s="349"/>
      <c r="BN188" s="349"/>
      <c r="BS188" s="8"/>
      <c r="BU188" s="8"/>
      <c r="BV188" s="8"/>
      <c r="BW188" s="8"/>
      <c r="BX188" s="8"/>
      <c r="BY188" s="8"/>
      <c r="BZ188" s="8"/>
      <c r="CA188" s="8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</row>
    <row r="189" spans="2:183" s="76" customFormat="1" ht="12" customHeight="1">
      <c r="B189" s="8"/>
      <c r="C189" s="8"/>
      <c r="D189" s="75"/>
      <c r="E189" s="75"/>
      <c r="F189" s="75"/>
      <c r="G189" s="75"/>
      <c r="H189" s="75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6"/>
      <c r="AQ189" s="179"/>
      <c r="AR189" s="180"/>
      <c r="AS189" s="180"/>
      <c r="AT189" s="80"/>
      <c r="AU189" s="80"/>
      <c r="AV189" s="183">
        <v>3.7</v>
      </c>
      <c r="AW189" s="185">
        <f t="shared" si="13"/>
        <v>0.14054054054054055</v>
      </c>
      <c r="AX189" s="201">
        <f t="shared" si="11"/>
        <v>0.14054054054054055</v>
      </c>
      <c r="AY189" s="187">
        <v>1.85</v>
      </c>
      <c r="AZ189" s="189">
        <f t="shared" si="14"/>
        <v>0.26568187252583758</v>
      </c>
      <c r="BA189" s="202">
        <f t="shared" si="12"/>
        <v>0.26568187252583758</v>
      </c>
      <c r="BB189" s="202">
        <f t="shared" si="15"/>
        <v>1.3</v>
      </c>
      <c r="BC189" s="209"/>
      <c r="BD189" s="349"/>
      <c r="BE189" s="349"/>
      <c r="BF189" s="349"/>
      <c r="BG189" s="349"/>
      <c r="BH189" s="349"/>
      <c r="BI189" s="349"/>
      <c r="BJ189" s="349"/>
      <c r="BK189" s="349"/>
      <c r="BL189" s="349"/>
      <c r="BM189" s="349"/>
      <c r="BN189" s="349"/>
      <c r="BS189" s="8"/>
      <c r="BU189" s="8"/>
      <c r="BV189" s="8"/>
      <c r="BW189" s="8"/>
      <c r="BX189" s="8"/>
      <c r="BY189" s="8"/>
      <c r="BZ189" s="8"/>
      <c r="CA189" s="8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</row>
    <row r="190" spans="2:183" s="76" customFormat="1" ht="12" customHeight="1">
      <c r="B190" s="8"/>
      <c r="C190" s="8"/>
      <c r="D190" s="75"/>
      <c r="E190" s="75"/>
      <c r="F190" s="75"/>
      <c r="G190" s="75"/>
      <c r="H190" s="75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6"/>
      <c r="AQ190" s="179"/>
      <c r="AR190" s="180"/>
      <c r="AS190" s="180"/>
      <c r="AT190" s="80"/>
      <c r="AU190" s="80"/>
      <c r="AV190" s="183">
        <v>3.72</v>
      </c>
      <c r="AW190" s="185">
        <f t="shared" si="13"/>
        <v>0.13978494623655913</v>
      </c>
      <c r="AX190" s="201">
        <f t="shared" si="11"/>
        <v>0.13978494623655913</v>
      </c>
      <c r="AY190" s="187">
        <v>1.86</v>
      </c>
      <c r="AZ190" s="189">
        <f t="shared" si="14"/>
        <v>0.26568187252583758</v>
      </c>
      <c r="BA190" s="202">
        <f t="shared" si="12"/>
        <v>0.26568187252583758</v>
      </c>
      <c r="BB190" s="202">
        <f t="shared" si="15"/>
        <v>1.3</v>
      </c>
      <c r="BC190" s="181"/>
      <c r="BD190" s="349"/>
      <c r="BE190" s="349"/>
      <c r="BF190" s="349"/>
      <c r="BG190" s="349"/>
      <c r="BH190" s="349"/>
      <c r="BI190" s="349"/>
      <c r="BJ190" s="349"/>
      <c r="BK190" s="349"/>
      <c r="BL190" s="349"/>
      <c r="BM190" s="349"/>
      <c r="BN190" s="349"/>
      <c r="BS190" s="8"/>
      <c r="BU190" s="8"/>
      <c r="BV190" s="8"/>
      <c r="BW190" s="8"/>
      <c r="BX190" s="8"/>
      <c r="BY190" s="8"/>
      <c r="BZ190" s="8"/>
      <c r="CA190" s="8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</row>
    <row r="191" spans="2:183" s="76" customFormat="1" ht="12" customHeight="1">
      <c r="B191" s="8"/>
      <c r="C191" s="8"/>
      <c r="D191" s="75"/>
      <c r="E191" s="75"/>
      <c r="F191" s="75"/>
      <c r="G191" s="75"/>
      <c r="H191" s="75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6"/>
      <c r="AQ191" s="179"/>
      <c r="AR191" s="180"/>
      <c r="AS191" s="180"/>
      <c r="AT191" s="80"/>
      <c r="AU191" s="80"/>
      <c r="AV191" s="183">
        <v>3.74</v>
      </c>
      <c r="AW191" s="185">
        <f t="shared" si="13"/>
        <v>0.13903743315508021</v>
      </c>
      <c r="AX191" s="201">
        <f t="shared" si="11"/>
        <v>0.13903743315508021</v>
      </c>
      <c r="AY191" s="187">
        <v>1.87</v>
      </c>
      <c r="AZ191" s="189">
        <f t="shared" si="14"/>
        <v>0.26568187252583758</v>
      </c>
      <c r="BA191" s="202">
        <f t="shared" si="12"/>
        <v>0.26568187252583758</v>
      </c>
      <c r="BB191" s="202">
        <f t="shared" si="15"/>
        <v>1.3</v>
      </c>
      <c r="BC191" s="181"/>
      <c r="BD191" s="349"/>
      <c r="BE191" s="349"/>
      <c r="BF191" s="349"/>
      <c r="BG191" s="349"/>
      <c r="BH191" s="349"/>
      <c r="BI191" s="349"/>
      <c r="BJ191" s="349"/>
      <c r="BK191" s="349"/>
      <c r="BL191" s="349"/>
      <c r="BM191" s="349"/>
      <c r="BN191" s="349"/>
      <c r="BS191" s="8"/>
      <c r="BU191" s="8"/>
      <c r="BV191" s="8"/>
      <c r="BW191" s="8"/>
      <c r="BX191" s="8"/>
      <c r="BY191" s="8"/>
      <c r="BZ191" s="8"/>
      <c r="CA191" s="8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</row>
    <row r="192" spans="2:183" s="76" customFormat="1" ht="12" customHeight="1">
      <c r="B192" s="8"/>
      <c r="C192" s="8"/>
      <c r="D192" s="75"/>
      <c r="E192" s="75"/>
      <c r="F192" s="75"/>
      <c r="G192" s="75"/>
      <c r="H192" s="75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6"/>
      <c r="AQ192" s="179"/>
      <c r="AR192" s="180"/>
      <c r="AS192" s="180"/>
      <c r="AT192" s="80"/>
      <c r="AU192" s="80"/>
      <c r="AV192" s="183">
        <v>3.76</v>
      </c>
      <c r="AW192" s="185">
        <f t="shared" si="13"/>
        <v>0.13829787234042554</v>
      </c>
      <c r="AX192" s="201">
        <f t="shared" si="11"/>
        <v>0.13829787234042554</v>
      </c>
      <c r="AY192" s="187">
        <v>1.88</v>
      </c>
      <c r="AZ192" s="189">
        <f t="shared" si="14"/>
        <v>0.26568187252583758</v>
      </c>
      <c r="BA192" s="202">
        <f t="shared" si="12"/>
        <v>0.26568187252583758</v>
      </c>
      <c r="BB192" s="202">
        <f t="shared" si="15"/>
        <v>1.3</v>
      </c>
      <c r="BC192" s="181"/>
      <c r="BD192" s="349"/>
      <c r="BE192" s="349"/>
      <c r="BF192" s="349"/>
      <c r="BG192" s="349"/>
      <c r="BH192" s="349"/>
      <c r="BI192" s="349"/>
      <c r="BJ192" s="349"/>
      <c r="BK192" s="349"/>
      <c r="BL192" s="349"/>
      <c r="BM192" s="349"/>
      <c r="BN192" s="349"/>
      <c r="BS192" s="8"/>
      <c r="BU192" s="8"/>
      <c r="BV192" s="8"/>
      <c r="BW192" s="8"/>
      <c r="BX192" s="8"/>
      <c r="BY192" s="8"/>
      <c r="BZ192" s="8"/>
      <c r="CA192" s="8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</row>
    <row r="193" spans="2:183" s="76" customFormat="1" ht="12" customHeight="1">
      <c r="B193" s="8"/>
      <c r="AP193" s="6"/>
      <c r="AR193" s="180"/>
      <c r="AS193" s="180"/>
      <c r="AT193" s="80"/>
      <c r="AU193" s="80"/>
      <c r="AV193" s="183">
        <v>3.78</v>
      </c>
      <c r="AW193" s="185">
        <f t="shared" si="13"/>
        <v>0.13756613756613759</v>
      </c>
      <c r="AX193" s="201">
        <f t="shared" si="11"/>
        <v>0.13756613756613759</v>
      </c>
      <c r="AY193" s="187">
        <v>1.89</v>
      </c>
      <c r="AZ193" s="189">
        <f t="shared" si="14"/>
        <v>0.26568187252583758</v>
      </c>
      <c r="BA193" s="202">
        <f t="shared" si="12"/>
        <v>0.26568187252583758</v>
      </c>
      <c r="BB193" s="202">
        <f t="shared" si="15"/>
        <v>1.3</v>
      </c>
      <c r="BC193" s="181"/>
      <c r="BD193" s="349"/>
      <c r="BE193" s="349"/>
      <c r="BF193" s="349"/>
      <c r="BG193" s="349"/>
      <c r="BH193" s="349"/>
      <c r="BI193" s="349"/>
      <c r="BJ193" s="349"/>
      <c r="BK193" s="349"/>
      <c r="BL193" s="349"/>
      <c r="BM193" s="349"/>
      <c r="BN193" s="349"/>
      <c r="BS193" s="8"/>
      <c r="BU193" s="8"/>
      <c r="BV193" s="8"/>
      <c r="BW193" s="8"/>
      <c r="BX193" s="8"/>
      <c r="BY193" s="8"/>
      <c r="BZ193" s="8"/>
      <c r="CA193" s="8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</row>
    <row r="194" spans="2:183" s="76" customFormat="1" ht="12" customHeight="1">
      <c r="B194" s="8"/>
      <c r="AP194" s="6"/>
      <c r="AR194" s="180"/>
      <c r="AS194" s="180"/>
      <c r="AT194" s="80"/>
      <c r="AU194" s="80"/>
      <c r="AV194" s="183">
        <v>3.8</v>
      </c>
      <c r="AW194" s="185">
        <f t="shared" si="13"/>
        <v>0.1368421052631579</v>
      </c>
      <c r="AX194" s="201">
        <f t="shared" si="11"/>
        <v>0.1368421052631579</v>
      </c>
      <c r="AY194" s="187">
        <v>1.9</v>
      </c>
      <c r="AZ194" s="189">
        <f t="shared" si="14"/>
        <v>0.26568187252583758</v>
      </c>
      <c r="BA194" s="202">
        <f t="shared" si="12"/>
        <v>0.26568187252583758</v>
      </c>
      <c r="BB194" s="202">
        <f t="shared" si="15"/>
        <v>1.3</v>
      </c>
      <c r="BC194" s="181"/>
      <c r="BD194" s="349"/>
      <c r="BE194" s="349"/>
      <c r="BF194" s="349"/>
      <c r="BG194" s="349"/>
      <c r="BH194" s="349"/>
      <c r="BI194" s="349"/>
      <c r="BJ194" s="349"/>
      <c r="BK194" s="349"/>
      <c r="BL194" s="349"/>
      <c r="BM194" s="349"/>
      <c r="BN194" s="349"/>
      <c r="BS194" s="8"/>
      <c r="BU194" s="8"/>
      <c r="BV194" s="8"/>
      <c r="BW194" s="8"/>
      <c r="BX194" s="8"/>
      <c r="BY194" s="8"/>
      <c r="BZ194" s="8"/>
      <c r="CA194" s="8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</row>
    <row r="195" spans="2:183" s="76" customFormat="1" ht="12" customHeight="1">
      <c r="B195" s="8"/>
      <c r="AP195" s="6"/>
      <c r="AR195" s="180"/>
      <c r="AS195" s="180"/>
      <c r="AT195" s="80"/>
      <c r="AU195" s="80"/>
      <c r="AV195" s="183">
        <v>3.82</v>
      </c>
      <c r="AW195" s="185">
        <f t="shared" si="13"/>
        <v>0.13612565445026178</v>
      </c>
      <c r="AX195" s="201">
        <f t="shared" si="11"/>
        <v>0.13612565445026178</v>
      </c>
      <c r="AY195" s="187">
        <v>1.91</v>
      </c>
      <c r="AZ195" s="189">
        <f t="shared" si="14"/>
        <v>0.26568187252583758</v>
      </c>
      <c r="BA195" s="202">
        <f t="shared" si="12"/>
        <v>0.26568187252583758</v>
      </c>
      <c r="BB195" s="202">
        <f t="shared" si="15"/>
        <v>1.3</v>
      </c>
      <c r="BC195" s="181"/>
      <c r="BD195" s="349"/>
      <c r="BE195" s="349"/>
      <c r="BF195" s="349"/>
      <c r="BG195" s="349"/>
      <c r="BH195" s="349"/>
      <c r="BI195" s="349"/>
      <c r="BJ195" s="349"/>
      <c r="BK195" s="349"/>
      <c r="BL195" s="349"/>
      <c r="BM195" s="349"/>
      <c r="BN195" s="349"/>
      <c r="BS195" s="8"/>
      <c r="BU195" s="8"/>
      <c r="BV195" s="8"/>
      <c r="BW195" s="8"/>
      <c r="BX195" s="8"/>
      <c r="BY195" s="8"/>
      <c r="BZ195" s="8"/>
      <c r="CA195" s="8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</row>
    <row r="196" spans="2:183" s="76" customFormat="1" ht="12" customHeight="1">
      <c r="B196" s="8"/>
      <c r="AP196" s="6"/>
      <c r="AR196" s="180"/>
      <c r="AS196" s="180"/>
      <c r="AT196" s="80"/>
      <c r="AU196" s="80"/>
      <c r="AV196" s="183">
        <v>3.84</v>
      </c>
      <c r="AW196" s="185">
        <f t="shared" si="13"/>
        <v>0.13541666666666669</v>
      </c>
      <c r="AX196" s="201">
        <f t="shared" ref="AX196:AX259" si="16">IF(AND(OR(AV196&gt;0,AV196=0),OR(AV196&lt;AQ$96,AV196=AQ$96)),(AQ$92*(0.4+(0.6*AV196/AQ$96))),IF(AND(AV196&gt;AQ$96,OR(AV196&lt;AQ$98,AV196=AQ$98)),AQ$92,IF(AND(AV196&gt;AQ$98,AV196&lt;AQ$100),(AQ$94/AV196),IF(OR(AV196&gt;AQ$100,AV196=AQ$100),(AQ$94*AQ$100/(AV196*AV196)),"Error"))))</f>
        <v>0.13541666666666669</v>
      </c>
      <c r="AY196" s="187">
        <v>1.92</v>
      </c>
      <c r="AZ196" s="189">
        <f t="shared" si="14"/>
        <v>0.26568187252583758</v>
      </c>
      <c r="BA196" s="202">
        <f t="shared" ref="BA196:BA259" si="17">IF(OR(AY196&lt;0.025,AY196=0.025),0.65*AI$179*(AJ$108/BB196),IF(AND(AY196&gt;0.025,OR(AY196&lt;0.05,AY196=0.05)),(16*AI$179*(AJ$108/BB196)*(AY196-0.025))+(0.65*AI$179*(AJ$108/BB196)),IF(AND(AY196&gt;0.05,OR(AY196&lt;0.1,AY196=0.1)),1.05*AI$179*AJ$108/BB196,IF(AND(AY196&gt;0.1,OR(AY196&lt;2,AY196=2)),MAX(0.5*AJ$108/BB196,(1.05*AI$179*AJ$108/BB196)*((0.1/AY196)^0.5)),IF(AY196&gt;2,0.5*AJ$108/BB196,"Error")))))</f>
        <v>0.26568187252583758</v>
      </c>
      <c r="BB196" s="202">
        <f t="shared" si="15"/>
        <v>1.3</v>
      </c>
      <c r="BC196" s="181"/>
      <c r="BD196" s="6"/>
      <c r="BF196" s="6"/>
      <c r="BH196" s="6"/>
      <c r="BJ196" s="6"/>
      <c r="BL196" s="6"/>
      <c r="BM196" s="6"/>
      <c r="BN196" s="6"/>
      <c r="BS196" s="8"/>
      <c r="BU196" s="8"/>
      <c r="BV196" s="8"/>
      <c r="BW196" s="8"/>
      <c r="BX196" s="8"/>
      <c r="BY196" s="8"/>
      <c r="BZ196" s="8"/>
      <c r="CA196" s="8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</row>
    <row r="197" spans="2:183" s="76" customFormat="1" ht="12" customHeight="1">
      <c r="B197" s="8"/>
      <c r="AP197" s="6"/>
      <c r="AR197" s="180"/>
      <c r="AS197" s="180"/>
      <c r="AT197" s="80"/>
      <c r="AU197" s="80"/>
      <c r="AV197" s="183">
        <v>3.86</v>
      </c>
      <c r="AW197" s="185">
        <f t="shared" ref="AW197:AW260" si="18">AX197</f>
        <v>0.13471502590673576</v>
      </c>
      <c r="AX197" s="201">
        <f t="shared" si="16"/>
        <v>0.13471502590673576</v>
      </c>
      <c r="AY197" s="187">
        <v>1.93</v>
      </c>
      <c r="AZ197" s="189">
        <f t="shared" ref="AZ197:AZ260" si="19">BA197</f>
        <v>0.26568187252583758</v>
      </c>
      <c r="BA197" s="202">
        <f t="shared" si="17"/>
        <v>0.26568187252583758</v>
      </c>
      <c r="BB197" s="202">
        <f t="shared" si="15"/>
        <v>1.3</v>
      </c>
      <c r="BC197" s="181"/>
      <c r="BD197" s="6"/>
      <c r="BF197" s="6"/>
      <c r="BH197" s="6"/>
      <c r="BJ197" s="6"/>
      <c r="BL197" s="6"/>
      <c r="BM197" s="6"/>
      <c r="BN197" s="6"/>
      <c r="BS197" s="8"/>
      <c r="BU197" s="8"/>
      <c r="BV197" s="8"/>
      <c r="BW197" s="8"/>
      <c r="BX197" s="8"/>
      <c r="BY197" s="8"/>
      <c r="BZ197" s="8"/>
      <c r="CA197" s="8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</row>
    <row r="198" spans="2:183" s="76" customFormat="1" ht="12" customHeight="1">
      <c r="B198" s="8"/>
      <c r="C198" s="8"/>
      <c r="D198" s="75"/>
      <c r="E198" s="75"/>
      <c r="F198" s="75"/>
      <c r="G198" s="75"/>
      <c r="H198" s="75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6"/>
      <c r="AQ198" s="179"/>
      <c r="AR198" s="180"/>
      <c r="AS198" s="180"/>
      <c r="AT198" s="80"/>
      <c r="AU198" s="80"/>
      <c r="AV198" s="183">
        <v>3.88</v>
      </c>
      <c r="AW198" s="185">
        <f t="shared" si="18"/>
        <v>0.13402061855670103</v>
      </c>
      <c r="AX198" s="201">
        <f t="shared" si="16"/>
        <v>0.13402061855670103</v>
      </c>
      <c r="AY198" s="187">
        <v>1.94</v>
      </c>
      <c r="AZ198" s="189">
        <f t="shared" si="19"/>
        <v>0.26568187252583758</v>
      </c>
      <c r="BA198" s="202">
        <f t="shared" si="17"/>
        <v>0.26568187252583758</v>
      </c>
      <c r="BB198" s="202">
        <f t="shared" si="15"/>
        <v>1.3</v>
      </c>
      <c r="BC198" s="181"/>
      <c r="BD198" s="6"/>
      <c r="BF198" s="6"/>
      <c r="BH198" s="6"/>
      <c r="BJ198" s="6"/>
      <c r="BL198" s="6"/>
      <c r="BM198" s="6"/>
      <c r="BN198" s="6"/>
      <c r="BS198" s="8"/>
      <c r="BU198" s="8"/>
      <c r="BV198" s="8"/>
      <c r="BW198" s="8"/>
      <c r="BX198" s="8"/>
      <c r="BY198" s="8"/>
      <c r="BZ198" s="8"/>
      <c r="CA198" s="8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</row>
    <row r="199" spans="2:183" s="76" customFormat="1" ht="12" customHeight="1">
      <c r="B199" s="8"/>
      <c r="C199" s="8"/>
      <c r="D199" s="75"/>
      <c r="E199" s="75"/>
      <c r="F199" s="75"/>
      <c r="G199" s="75"/>
      <c r="H199" s="75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6"/>
      <c r="AQ199" s="179"/>
      <c r="AR199" s="180"/>
      <c r="AS199" s="180"/>
      <c r="AT199" s="80"/>
      <c r="AU199" s="80"/>
      <c r="AV199" s="183">
        <v>3.9</v>
      </c>
      <c r="AW199" s="185">
        <f t="shared" si="18"/>
        <v>0.13333333333333333</v>
      </c>
      <c r="AX199" s="201">
        <f t="shared" si="16"/>
        <v>0.13333333333333333</v>
      </c>
      <c r="AY199" s="187">
        <v>1.95</v>
      </c>
      <c r="AZ199" s="189">
        <f t="shared" si="19"/>
        <v>0.26568187252583758</v>
      </c>
      <c r="BA199" s="202">
        <f t="shared" si="17"/>
        <v>0.26568187252583758</v>
      </c>
      <c r="BB199" s="202">
        <f t="shared" si="15"/>
        <v>1.3</v>
      </c>
      <c r="BC199" s="181"/>
      <c r="BD199" s="6"/>
      <c r="BF199" s="6"/>
      <c r="BH199" s="6"/>
      <c r="BJ199" s="6"/>
      <c r="BL199" s="6"/>
      <c r="BM199" s="6"/>
      <c r="BN199" s="6"/>
      <c r="BS199" s="8"/>
      <c r="BU199" s="8"/>
      <c r="BV199" s="8"/>
      <c r="BW199" s="8"/>
      <c r="BX199" s="8"/>
      <c r="BY199" s="8"/>
      <c r="BZ199" s="8"/>
      <c r="CA199" s="8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</row>
    <row r="200" spans="2:183" s="76" customFormat="1" ht="12" customHeight="1">
      <c r="B200" s="8"/>
      <c r="C200" s="8"/>
      <c r="D200" s="75"/>
      <c r="E200" s="75"/>
      <c r="F200" s="75"/>
      <c r="G200" s="75"/>
      <c r="H200" s="75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6"/>
      <c r="AQ200" s="179"/>
      <c r="AR200" s="180"/>
      <c r="AS200" s="180"/>
      <c r="AT200" s="80"/>
      <c r="AU200" s="80"/>
      <c r="AV200" s="183">
        <v>3.92</v>
      </c>
      <c r="AW200" s="185">
        <f t="shared" si="18"/>
        <v>0.1326530612244898</v>
      </c>
      <c r="AX200" s="201">
        <f t="shared" si="16"/>
        <v>0.1326530612244898</v>
      </c>
      <c r="AY200" s="187">
        <v>1.96</v>
      </c>
      <c r="AZ200" s="189">
        <f t="shared" si="19"/>
        <v>0.26568187252583758</v>
      </c>
      <c r="BA200" s="202">
        <f t="shared" si="17"/>
        <v>0.26568187252583758</v>
      </c>
      <c r="BB200" s="202">
        <f t="shared" ref="BB200:BB263" si="20">IF(OR(AY200&lt;0.2,AY200=0.2),1,IF(AND(AY200&gt;0.2,OR(AY200&lt;1,AY200=1)),(1+(0.375*(AY200-0.2))),IF(AND(AY200&gt;1,OR(AY200&lt;10,AY200=10)),1.3,"Error")))</f>
        <v>1.3</v>
      </c>
      <c r="BC200" s="181"/>
      <c r="BD200" s="6"/>
      <c r="BF200" s="6"/>
      <c r="BH200" s="6"/>
      <c r="BJ200" s="6"/>
      <c r="BL200" s="6"/>
      <c r="BM200" s="6"/>
      <c r="BN200" s="6"/>
      <c r="BS200" s="8"/>
      <c r="BU200" s="8"/>
      <c r="BV200" s="8"/>
      <c r="BW200" s="8"/>
      <c r="BX200" s="8"/>
      <c r="BY200" s="8"/>
      <c r="BZ200" s="8"/>
      <c r="CA200" s="8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</row>
    <row r="201" spans="2:183" s="76" customFormat="1" ht="12" customHeight="1">
      <c r="B201" s="8"/>
      <c r="C201" s="8"/>
      <c r="D201" s="75"/>
      <c r="E201" s="75"/>
      <c r="F201" s="75"/>
      <c r="G201" s="75"/>
      <c r="H201" s="75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6"/>
      <c r="AQ201" s="179"/>
      <c r="AR201" s="180"/>
      <c r="AS201" s="180"/>
      <c r="AT201" s="80"/>
      <c r="AU201" s="80"/>
      <c r="AV201" s="183">
        <v>3.94</v>
      </c>
      <c r="AW201" s="185">
        <f t="shared" si="18"/>
        <v>0.13197969543147209</v>
      </c>
      <c r="AX201" s="201">
        <f t="shared" si="16"/>
        <v>0.13197969543147209</v>
      </c>
      <c r="AY201" s="187">
        <v>1.97</v>
      </c>
      <c r="AZ201" s="189">
        <f t="shared" si="19"/>
        <v>0.26568187252583758</v>
      </c>
      <c r="BA201" s="202">
        <f t="shared" si="17"/>
        <v>0.26568187252583758</v>
      </c>
      <c r="BB201" s="202">
        <f t="shared" si="20"/>
        <v>1.3</v>
      </c>
      <c r="BC201" s="181"/>
      <c r="BD201" s="6"/>
      <c r="BF201" s="6"/>
      <c r="BH201" s="6"/>
      <c r="BJ201" s="6"/>
      <c r="BL201" s="6"/>
      <c r="BM201" s="6"/>
      <c r="BN201" s="6"/>
      <c r="BS201" s="8"/>
      <c r="BU201" s="8"/>
      <c r="BV201" s="8"/>
      <c r="BW201" s="8"/>
      <c r="BX201" s="8"/>
      <c r="BY201" s="8"/>
      <c r="BZ201" s="8"/>
      <c r="CA201" s="8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</row>
    <row r="202" spans="2:183" s="76" customFormat="1" ht="12" customHeight="1">
      <c r="B202" s="8"/>
      <c r="C202" s="8"/>
      <c r="D202" s="75"/>
      <c r="E202" s="75"/>
      <c r="F202" s="75"/>
      <c r="G202" s="75"/>
      <c r="H202" s="75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6"/>
      <c r="AQ202" s="179"/>
      <c r="AR202" s="180"/>
      <c r="AS202" s="180"/>
      <c r="AT202" s="80"/>
      <c r="AU202" s="80"/>
      <c r="AV202" s="183">
        <v>3.96</v>
      </c>
      <c r="AW202" s="185">
        <f t="shared" si="18"/>
        <v>0.13131313131313133</v>
      </c>
      <c r="AX202" s="201">
        <f t="shared" si="16"/>
        <v>0.13131313131313133</v>
      </c>
      <c r="AY202" s="187">
        <v>1.98</v>
      </c>
      <c r="AZ202" s="189">
        <f t="shared" si="19"/>
        <v>0.26568187252583758</v>
      </c>
      <c r="BA202" s="202">
        <f t="shared" si="17"/>
        <v>0.26568187252583758</v>
      </c>
      <c r="BB202" s="202">
        <f t="shared" si="20"/>
        <v>1.3</v>
      </c>
      <c r="BC202" s="181"/>
      <c r="BD202" s="6"/>
      <c r="BF202" s="6"/>
      <c r="BH202" s="6"/>
      <c r="BJ202" s="6"/>
      <c r="BL202" s="6"/>
      <c r="BM202" s="6"/>
      <c r="BN202" s="6"/>
      <c r="BS202" s="8"/>
      <c r="BU202" s="8"/>
      <c r="BV202" s="8"/>
      <c r="BW202" s="8"/>
      <c r="BX202" s="8"/>
      <c r="BY202" s="8"/>
      <c r="BZ202" s="8"/>
      <c r="CA202" s="8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</row>
    <row r="203" spans="2:183" s="76" customFormat="1" ht="12" customHeight="1">
      <c r="B203" s="8"/>
      <c r="C203" s="8"/>
      <c r="D203" s="75"/>
      <c r="E203" s="75"/>
      <c r="F203" s="75"/>
      <c r="G203" s="75"/>
      <c r="H203" s="75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6"/>
      <c r="AQ203" s="179"/>
      <c r="AR203" s="180"/>
      <c r="AS203" s="180"/>
      <c r="AT203" s="80"/>
      <c r="AU203" s="80"/>
      <c r="AV203" s="183">
        <v>3.98</v>
      </c>
      <c r="AW203" s="185">
        <f t="shared" si="18"/>
        <v>0.1306532663316583</v>
      </c>
      <c r="AX203" s="201">
        <f t="shared" si="16"/>
        <v>0.1306532663316583</v>
      </c>
      <c r="AY203" s="187">
        <v>1.99</v>
      </c>
      <c r="AZ203" s="189">
        <f t="shared" si="19"/>
        <v>0.26568187252583758</v>
      </c>
      <c r="BA203" s="202">
        <f t="shared" si="17"/>
        <v>0.26568187252583758</v>
      </c>
      <c r="BB203" s="202">
        <f t="shared" si="20"/>
        <v>1.3</v>
      </c>
      <c r="BC203" s="181"/>
      <c r="BD203" s="6"/>
      <c r="BF203" s="6"/>
      <c r="BH203" s="6"/>
      <c r="BJ203" s="6"/>
      <c r="BL203" s="6"/>
      <c r="BM203" s="6"/>
      <c r="BN203" s="6"/>
      <c r="BS203" s="8"/>
      <c r="BU203" s="8"/>
      <c r="BV203" s="8"/>
      <c r="BW203" s="8"/>
      <c r="BX203" s="8"/>
      <c r="BY203" s="8"/>
      <c r="BZ203" s="8"/>
      <c r="CA203" s="8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</row>
    <row r="204" spans="2:183" s="76" customFormat="1" ht="12" customHeight="1">
      <c r="B204" s="8"/>
      <c r="C204" s="8"/>
      <c r="D204" s="75"/>
      <c r="E204" s="75"/>
      <c r="F204" s="75"/>
      <c r="G204" s="75"/>
      <c r="H204" s="75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6"/>
      <c r="AQ204" s="179"/>
      <c r="AR204" s="180"/>
      <c r="AS204" s="180"/>
      <c r="AT204" s="80"/>
      <c r="AU204" s="80"/>
      <c r="AV204" s="183">
        <v>4</v>
      </c>
      <c r="AW204" s="185">
        <f t="shared" si="18"/>
        <v>0.13</v>
      </c>
      <c r="AX204" s="201">
        <f t="shared" si="16"/>
        <v>0.13</v>
      </c>
      <c r="AY204" s="187">
        <v>2</v>
      </c>
      <c r="AZ204" s="189">
        <f t="shared" si="19"/>
        <v>0.26568187252583758</v>
      </c>
      <c r="BA204" s="202">
        <f t="shared" si="17"/>
        <v>0.26568187252583758</v>
      </c>
      <c r="BB204" s="202">
        <f t="shared" si="20"/>
        <v>1.3</v>
      </c>
      <c r="BC204" s="181"/>
      <c r="BD204" s="6"/>
      <c r="BF204" s="6"/>
      <c r="BH204" s="6"/>
      <c r="BJ204" s="6"/>
      <c r="BL204" s="6"/>
      <c r="BM204" s="6"/>
      <c r="BN204" s="6"/>
      <c r="BS204" s="8"/>
      <c r="BU204" s="8"/>
      <c r="BV204" s="8"/>
      <c r="BW204" s="8"/>
      <c r="BX204" s="8"/>
      <c r="BY204" s="8"/>
      <c r="BZ204" s="8"/>
      <c r="CA204" s="8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</row>
    <row r="205" spans="2:183" s="76" customFormat="1" ht="12" customHeight="1">
      <c r="B205" s="8"/>
      <c r="C205" s="8"/>
      <c r="D205" s="75"/>
      <c r="E205" s="75"/>
      <c r="F205" s="75"/>
      <c r="G205" s="75"/>
      <c r="H205" s="75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6"/>
      <c r="AQ205" s="179"/>
      <c r="AR205" s="180"/>
      <c r="AS205" s="180"/>
      <c r="AT205" s="80"/>
      <c r="AU205" s="80"/>
      <c r="AV205" s="183">
        <v>4.0199999999999996</v>
      </c>
      <c r="AW205" s="185">
        <f t="shared" si="18"/>
        <v>0.12935323383084579</v>
      </c>
      <c r="AX205" s="201">
        <f t="shared" si="16"/>
        <v>0.12935323383084579</v>
      </c>
      <c r="AY205" s="187">
        <v>2.0099999999999998</v>
      </c>
      <c r="AZ205" s="189">
        <f t="shared" si="19"/>
        <v>0.26568187252583758</v>
      </c>
      <c r="BA205" s="202">
        <f t="shared" si="17"/>
        <v>0.26568187252583758</v>
      </c>
      <c r="BB205" s="202">
        <f t="shared" si="20"/>
        <v>1.3</v>
      </c>
      <c r="BC205" s="181"/>
      <c r="BD205" s="6"/>
      <c r="BF205" s="6"/>
      <c r="BH205" s="6"/>
      <c r="BJ205" s="6"/>
      <c r="BL205" s="6"/>
      <c r="BM205" s="6"/>
      <c r="BN205" s="6"/>
      <c r="BS205" s="8"/>
      <c r="BU205" s="8"/>
      <c r="BV205" s="8"/>
      <c r="BW205" s="8"/>
      <c r="BX205" s="8"/>
      <c r="BY205" s="8"/>
      <c r="BZ205" s="8"/>
      <c r="CA205" s="8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</row>
    <row r="206" spans="2:183" s="76" customFormat="1" ht="12" customHeight="1">
      <c r="B206" s="8"/>
      <c r="C206" s="8"/>
      <c r="D206" s="75"/>
      <c r="E206" s="75"/>
      <c r="F206" s="75"/>
      <c r="G206" s="75"/>
      <c r="H206" s="75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6"/>
      <c r="AQ206" s="179"/>
      <c r="AR206" s="180"/>
      <c r="AS206" s="180"/>
      <c r="AT206" s="80"/>
      <c r="AU206" s="80"/>
      <c r="AV206" s="183">
        <v>4.04</v>
      </c>
      <c r="AW206" s="185">
        <f t="shared" si="18"/>
        <v>0.12871287128712872</v>
      </c>
      <c r="AX206" s="201">
        <f t="shared" si="16"/>
        <v>0.12871287128712872</v>
      </c>
      <c r="AY206" s="187">
        <v>2.02</v>
      </c>
      <c r="AZ206" s="189">
        <f t="shared" si="19"/>
        <v>0.26568187252583758</v>
      </c>
      <c r="BA206" s="202">
        <f t="shared" si="17"/>
        <v>0.26568187252583758</v>
      </c>
      <c r="BB206" s="202">
        <f t="shared" si="20"/>
        <v>1.3</v>
      </c>
      <c r="BC206" s="181"/>
      <c r="BD206" s="6"/>
      <c r="BF206" s="6"/>
      <c r="BH206" s="6"/>
      <c r="BJ206" s="6"/>
      <c r="BL206" s="6"/>
      <c r="BM206" s="6"/>
      <c r="BN206" s="6"/>
      <c r="BS206" s="8"/>
      <c r="BU206" s="8"/>
      <c r="BV206" s="8"/>
      <c r="BW206" s="8"/>
      <c r="BX206" s="8"/>
      <c r="BY206" s="8"/>
      <c r="BZ206" s="8"/>
      <c r="CA206" s="8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</row>
    <row r="207" spans="2:183" s="76" customFormat="1" ht="12" customHeight="1">
      <c r="B207" s="8"/>
      <c r="C207" s="8"/>
      <c r="D207" s="75"/>
      <c r="E207" s="75"/>
      <c r="F207" s="75"/>
      <c r="G207" s="75"/>
      <c r="H207" s="75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6"/>
      <c r="AQ207" s="179"/>
      <c r="AR207" s="180"/>
      <c r="AS207" s="180"/>
      <c r="AT207" s="80"/>
      <c r="AU207" s="80"/>
      <c r="AV207" s="183">
        <v>4.0599999999999996</v>
      </c>
      <c r="AW207" s="185">
        <f t="shared" si="18"/>
        <v>0.12807881773399016</v>
      </c>
      <c r="AX207" s="201">
        <f t="shared" si="16"/>
        <v>0.12807881773399016</v>
      </c>
      <c r="AY207" s="187">
        <v>2.0299999999999998</v>
      </c>
      <c r="AZ207" s="189">
        <f t="shared" si="19"/>
        <v>0.26568187252583758</v>
      </c>
      <c r="BA207" s="202">
        <f t="shared" si="17"/>
        <v>0.26568187252583758</v>
      </c>
      <c r="BB207" s="202">
        <f t="shared" si="20"/>
        <v>1.3</v>
      </c>
      <c r="BC207" s="181"/>
      <c r="BD207" s="6"/>
      <c r="BF207" s="6"/>
      <c r="BH207" s="6"/>
      <c r="BJ207" s="6"/>
      <c r="BL207" s="6"/>
      <c r="BM207" s="6"/>
      <c r="BN207" s="6"/>
      <c r="BS207" s="8"/>
      <c r="BU207" s="8"/>
      <c r="BV207" s="8"/>
      <c r="BW207" s="8"/>
      <c r="BX207" s="8"/>
      <c r="BY207" s="8"/>
      <c r="BZ207" s="8"/>
      <c r="CA207" s="8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</row>
    <row r="208" spans="2:183" s="76" customFormat="1" ht="12" customHeight="1">
      <c r="B208" s="8"/>
      <c r="C208" s="8"/>
      <c r="D208" s="75"/>
      <c r="E208" s="75"/>
      <c r="F208" s="75"/>
      <c r="G208" s="75"/>
      <c r="H208" s="75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6"/>
      <c r="AQ208" s="179"/>
      <c r="AR208" s="180"/>
      <c r="AS208" s="180"/>
      <c r="AT208" s="80"/>
      <c r="AU208" s="80"/>
      <c r="AV208" s="183">
        <v>4.08</v>
      </c>
      <c r="AW208" s="185">
        <f t="shared" si="18"/>
        <v>0.12745098039215685</v>
      </c>
      <c r="AX208" s="201">
        <f t="shared" si="16"/>
        <v>0.12745098039215685</v>
      </c>
      <c r="AY208" s="187">
        <v>2.04</v>
      </c>
      <c r="AZ208" s="189">
        <f t="shared" si="19"/>
        <v>0.26568187252583758</v>
      </c>
      <c r="BA208" s="202">
        <f t="shared" si="17"/>
        <v>0.26568187252583758</v>
      </c>
      <c r="BB208" s="202">
        <f t="shared" si="20"/>
        <v>1.3</v>
      </c>
      <c r="BC208" s="181"/>
      <c r="BD208" s="6"/>
      <c r="BF208" s="6"/>
      <c r="BH208" s="6"/>
      <c r="BJ208" s="6"/>
      <c r="BL208" s="6"/>
      <c r="BM208" s="6"/>
      <c r="BN208" s="6"/>
      <c r="BS208" s="8"/>
      <c r="BU208" s="8"/>
      <c r="BV208" s="8"/>
      <c r="BW208" s="8"/>
      <c r="BX208" s="8"/>
      <c r="BY208" s="8"/>
      <c r="BZ208" s="8"/>
      <c r="CA208" s="8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</row>
    <row r="209" spans="2:183" s="76" customFormat="1" ht="12" customHeight="1">
      <c r="B209" s="8"/>
      <c r="C209" s="8"/>
      <c r="D209" s="75"/>
      <c r="E209" s="75"/>
      <c r="F209" s="75"/>
      <c r="G209" s="75"/>
      <c r="H209" s="75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6"/>
      <c r="AQ209" s="179"/>
      <c r="AR209" s="180"/>
      <c r="AS209" s="180"/>
      <c r="AT209" s="80"/>
      <c r="AU209" s="80"/>
      <c r="AV209" s="183">
        <v>4.0999999999999996</v>
      </c>
      <c r="AW209" s="185">
        <f t="shared" si="18"/>
        <v>0.12682926829268293</v>
      </c>
      <c r="AX209" s="201">
        <f t="shared" si="16"/>
        <v>0.12682926829268293</v>
      </c>
      <c r="AY209" s="187">
        <v>2.0499999999999998</v>
      </c>
      <c r="AZ209" s="189">
        <f t="shared" si="19"/>
        <v>0.26568187252583758</v>
      </c>
      <c r="BA209" s="202">
        <f t="shared" si="17"/>
        <v>0.26568187252583758</v>
      </c>
      <c r="BB209" s="202">
        <f t="shared" si="20"/>
        <v>1.3</v>
      </c>
      <c r="BC209" s="181"/>
      <c r="BD209" s="6"/>
      <c r="BF209" s="6"/>
      <c r="BH209" s="6"/>
      <c r="BJ209" s="6"/>
      <c r="BL209" s="6"/>
      <c r="BM209" s="6"/>
      <c r="BN209" s="6"/>
      <c r="BS209" s="8"/>
      <c r="BU209" s="8"/>
      <c r="BV209" s="8"/>
      <c r="BW209" s="8"/>
      <c r="BX209" s="8"/>
      <c r="BY209" s="8"/>
      <c r="BZ209" s="8"/>
      <c r="CA209" s="8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</row>
    <row r="210" spans="2:183" s="76" customFormat="1" ht="12" customHeight="1">
      <c r="B210" s="8"/>
      <c r="C210" s="8"/>
      <c r="D210" s="75"/>
      <c r="E210" s="75"/>
      <c r="F210" s="75"/>
      <c r="G210" s="75"/>
      <c r="H210" s="75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6"/>
      <c r="AQ210" s="179"/>
      <c r="AR210" s="180"/>
      <c r="AS210" s="180"/>
      <c r="AT210" s="80"/>
      <c r="AU210" s="80"/>
      <c r="AV210" s="183">
        <v>4.12</v>
      </c>
      <c r="AW210" s="185">
        <f t="shared" si="18"/>
        <v>0.12621359223300971</v>
      </c>
      <c r="AX210" s="201">
        <f t="shared" si="16"/>
        <v>0.12621359223300971</v>
      </c>
      <c r="AY210" s="187">
        <v>2.06</v>
      </c>
      <c r="AZ210" s="189">
        <f t="shared" si="19"/>
        <v>0.26568187252583758</v>
      </c>
      <c r="BA210" s="202">
        <f t="shared" si="17"/>
        <v>0.26568187252583758</v>
      </c>
      <c r="BB210" s="202">
        <f t="shared" si="20"/>
        <v>1.3</v>
      </c>
      <c r="BC210" s="181"/>
      <c r="BD210" s="6"/>
      <c r="BF210" s="6"/>
      <c r="BH210" s="6"/>
      <c r="BJ210" s="6"/>
      <c r="BL210" s="6"/>
      <c r="BM210" s="6"/>
      <c r="BN210" s="6"/>
      <c r="BS210" s="8"/>
      <c r="BU210" s="8"/>
      <c r="BV210" s="8"/>
      <c r="BW210" s="8"/>
      <c r="BX210" s="8"/>
      <c r="BY210" s="8"/>
      <c r="BZ210" s="8"/>
      <c r="CA210" s="8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</row>
    <row r="211" spans="2:183" s="76" customFormat="1" ht="12" customHeight="1">
      <c r="B211" s="8"/>
      <c r="C211" s="8"/>
      <c r="D211" s="75"/>
      <c r="E211" s="75"/>
      <c r="F211" s="75"/>
      <c r="G211" s="75"/>
      <c r="H211" s="75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6"/>
      <c r="AQ211" s="179"/>
      <c r="AR211" s="180"/>
      <c r="AS211" s="180"/>
      <c r="AT211" s="80"/>
      <c r="AU211" s="80"/>
      <c r="AV211" s="183">
        <v>4.1399999999999997</v>
      </c>
      <c r="AW211" s="185">
        <f t="shared" si="18"/>
        <v>0.12560386473429952</v>
      </c>
      <c r="AX211" s="201">
        <f t="shared" si="16"/>
        <v>0.12560386473429952</v>
      </c>
      <c r="AY211" s="187">
        <v>2.0699999999999998</v>
      </c>
      <c r="AZ211" s="189">
        <f t="shared" si="19"/>
        <v>0.26568187252583758</v>
      </c>
      <c r="BA211" s="202">
        <f t="shared" si="17"/>
        <v>0.26568187252583758</v>
      </c>
      <c r="BB211" s="202">
        <f t="shared" si="20"/>
        <v>1.3</v>
      </c>
      <c r="BC211" s="181"/>
      <c r="BD211" s="6"/>
      <c r="BF211" s="6"/>
      <c r="BH211" s="6"/>
      <c r="BJ211" s="6"/>
      <c r="BL211" s="6"/>
      <c r="BM211" s="6"/>
      <c r="BN211" s="6"/>
      <c r="BS211" s="8"/>
      <c r="BU211" s="8"/>
      <c r="BV211" s="8"/>
      <c r="BW211" s="8"/>
      <c r="BX211" s="8"/>
      <c r="BY211" s="8"/>
      <c r="BZ211" s="8"/>
      <c r="CA211" s="8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</row>
    <row r="212" spans="2:183" s="76" customFormat="1" ht="12" customHeight="1">
      <c r="B212" s="8"/>
      <c r="C212" s="8"/>
      <c r="D212" s="75"/>
      <c r="E212" s="75"/>
      <c r="F212" s="75"/>
      <c r="G212" s="75"/>
      <c r="H212" s="75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6"/>
      <c r="AQ212" s="179"/>
      <c r="AR212" s="180"/>
      <c r="AS212" s="180"/>
      <c r="AT212" s="80"/>
      <c r="AU212" s="80"/>
      <c r="AV212" s="183">
        <v>4.16</v>
      </c>
      <c r="AW212" s="185">
        <f t="shared" si="18"/>
        <v>0.125</v>
      </c>
      <c r="AX212" s="201">
        <f t="shared" si="16"/>
        <v>0.125</v>
      </c>
      <c r="AY212" s="187">
        <v>2.08</v>
      </c>
      <c r="AZ212" s="189">
        <f t="shared" si="19"/>
        <v>0.26568187252583758</v>
      </c>
      <c r="BA212" s="202">
        <f t="shared" si="17"/>
        <v>0.26568187252583758</v>
      </c>
      <c r="BB212" s="202">
        <f t="shared" si="20"/>
        <v>1.3</v>
      </c>
      <c r="BC212" s="181"/>
      <c r="BD212" s="6"/>
      <c r="BF212" s="6"/>
      <c r="BH212" s="6"/>
      <c r="BJ212" s="6"/>
      <c r="BL212" s="6"/>
      <c r="BM212" s="6"/>
      <c r="BN212" s="6"/>
      <c r="BS212" s="8"/>
      <c r="BU212" s="8"/>
      <c r="BV212" s="8"/>
      <c r="BW212" s="8"/>
      <c r="BX212" s="8"/>
      <c r="BY212" s="8"/>
      <c r="BZ212" s="8"/>
      <c r="CA212" s="8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</row>
    <row r="213" spans="2:183" s="76" customFormat="1" ht="12" customHeight="1">
      <c r="B213" s="8"/>
      <c r="C213" s="8"/>
      <c r="D213" s="75"/>
      <c r="E213" s="75"/>
      <c r="F213" s="75"/>
      <c r="G213" s="75"/>
      <c r="H213" s="75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6"/>
      <c r="AQ213" s="179"/>
      <c r="AR213" s="180"/>
      <c r="AS213" s="180"/>
      <c r="AT213" s="80"/>
      <c r="AU213" s="80"/>
      <c r="AV213" s="183">
        <v>4.18</v>
      </c>
      <c r="AW213" s="185">
        <f t="shared" si="18"/>
        <v>0.1244019138755981</v>
      </c>
      <c r="AX213" s="201">
        <f t="shared" si="16"/>
        <v>0.1244019138755981</v>
      </c>
      <c r="AY213" s="187">
        <v>2.09</v>
      </c>
      <c r="AZ213" s="189">
        <f t="shared" si="19"/>
        <v>0.26568187252583758</v>
      </c>
      <c r="BA213" s="202">
        <f t="shared" si="17"/>
        <v>0.26568187252583758</v>
      </c>
      <c r="BB213" s="202">
        <f t="shared" si="20"/>
        <v>1.3</v>
      </c>
      <c r="BC213" s="181"/>
      <c r="BD213" s="6"/>
      <c r="BF213" s="6"/>
      <c r="BH213" s="6"/>
      <c r="BJ213" s="6"/>
      <c r="BL213" s="6"/>
      <c r="BM213" s="6"/>
      <c r="BN213" s="6"/>
      <c r="BS213" s="8"/>
      <c r="BU213" s="8"/>
      <c r="BV213" s="8"/>
      <c r="BW213" s="8"/>
      <c r="BX213" s="8"/>
      <c r="BY213" s="8"/>
      <c r="BZ213" s="8"/>
      <c r="CA213" s="8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</row>
    <row r="214" spans="2:183" s="76" customFormat="1" ht="12" customHeight="1">
      <c r="B214" s="8"/>
      <c r="C214" s="8"/>
      <c r="D214" s="75"/>
      <c r="E214" s="75"/>
      <c r="F214" s="75"/>
      <c r="G214" s="75"/>
      <c r="H214" s="75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6"/>
      <c r="AQ214" s="179"/>
      <c r="AR214" s="180"/>
      <c r="AS214" s="180"/>
      <c r="AT214" s="80"/>
      <c r="AU214" s="80"/>
      <c r="AV214" s="183">
        <v>4.2</v>
      </c>
      <c r="AW214" s="185">
        <f t="shared" si="18"/>
        <v>0.12380952380952381</v>
      </c>
      <c r="AX214" s="201">
        <f t="shared" si="16"/>
        <v>0.12380952380952381</v>
      </c>
      <c r="AY214" s="187">
        <v>2.1</v>
      </c>
      <c r="AZ214" s="189">
        <f t="shared" si="19"/>
        <v>0.26568187252583758</v>
      </c>
      <c r="BA214" s="202">
        <f t="shared" si="17"/>
        <v>0.26568187252583758</v>
      </c>
      <c r="BB214" s="202">
        <f t="shared" si="20"/>
        <v>1.3</v>
      </c>
      <c r="BC214" s="181"/>
      <c r="BD214" s="6"/>
      <c r="BF214" s="6"/>
      <c r="BH214" s="6"/>
      <c r="BJ214" s="6"/>
      <c r="BL214" s="6"/>
      <c r="BM214" s="6"/>
      <c r="BN214" s="6"/>
      <c r="BS214" s="8"/>
      <c r="BU214" s="8"/>
      <c r="BV214" s="8"/>
      <c r="BW214" s="8"/>
      <c r="BX214" s="8"/>
      <c r="BY214" s="8"/>
      <c r="BZ214" s="8"/>
      <c r="CA214" s="8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</row>
    <row r="215" spans="2:183" s="76" customFormat="1" ht="12" customHeight="1">
      <c r="B215" s="8"/>
      <c r="C215" s="8"/>
      <c r="D215" s="75"/>
      <c r="E215" s="75"/>
      <c r="F215" s="75"/>
      <c r="G215" s="75"/>
      <c r="H215" s="75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6"/>
      <c r="AQ215" s="179"/>
      <c r="AR215" s="180"/>
      <c r="AS215" s="180"/>
      <c r="AT215" s="80"/>
      <c r="AU215" s="80"/>
      <c r="AV215" s="183">
        <v>4.22</v>
      </c>
      <c r="AW215" s="185">
        <f t="shared" si="18"/>
        <v>0.12322274881516589</v>
      </c>
      <c r="AX215" s="201">
        <f t="shared" si="16"/>
        <v>0.12322274881516589</v>
      </c>
      <c r="AY215" s="187">
        <v>2.11</v>
      </c>
      <c r="AZ215" s="189">
        <f t="shared" si="19"/>
        <v>0.26568187252583758</v>
      </c>
      <c r="BA215" s="202">
        <f t="shared" si="17"/>
        <v>0.26568187252583758</v>
      </c>
      <c r="BB215" s="202">
        <f t="shared" si="20"/>
        <v>1.3</v>
      </c>
      <c r="BC215" s="181"/>
      <c r="BD215" s="6"/>
      <c r="BF215" s="6"/>
      <c r="BH215" s="6"/>
      <c r="BJ215" s="6"/>
      <c r="BL215" s="6"/>
      <c r="BM215" s="6"/>
      <c r="BN215" s="6"/>
      <c r="BS215" s="8"/>
      <c r="BU215" s="8"/>
      <c r="BV215" s="8"/>
      <c r="BW215" s="8"/>
      <c r="BX215" s="8"/>
      <c r="BY215" s="8"/>
      <c r="BZ215" s="8"/>
      <c r="CA215" s="8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</row>
    <row r="216" spans="2:183" s="76" customFormat="1" ht="12" customHeight="1">
      <c r="B216" s="8"/>
      <c r="C216" s="8"/>
      <c r="D216" s="75"/>
      <c r="E216" s="75"/>
      <c r="F216" s="75"/>
      <c r="G216" s="75"/>
      <c r="H216" s="75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6"/>
      <c r="AQ216" s="179"/>
      <c r="AR216" s="180"/>
      <c r="AS216" s="180"/>
      <c r="AT216" s="180"/>
      <c r="AU216" s="180"/>
      <c r="AV216" s="183">
        <v>4.24</v>
      </c>
      <c r="AW216" s="185">
        <f t="shared" si="18"/>
        <v>0.12264150943396226</v>
      </c>
      <c r="AX216" s="201">
        <f t="shared" si="16"/>
        <v>0.12264150943396226</v>
      </c>
      <c r="AY216" s="187">
        <v>2.12</v>
      </c>
      <c r="AZ216" s="189">
        <f t="shared" si="19"/>
        <v>0.26568187252583758</v>
      </c>
      <c r="BA216" s="202">
        <f t="shared" si="17"/>
        <v>0.26568187252583758</v>
      </c>
      <c r="BB216" s="202">
        <f t="shared" si="20"/>
        <v>1.3</v>
      </c>
      <c r="BC216" s="181"/>
      <c r="BD216" s="6"/>
      <c r="BF216" s="6"/>
      <c r="BH216" s="6"/>
      <c r="BJ216" s="6"/>
      <c r="BL216" s="6"/>
      <c r="BM216" s="6"/>
      <c r="BN216" s="6"/>
      <c r="BS216" s="8"/>
      <c r="BU216" s="8"/>
      <c r="BV216" s="8"/>
      <c r="BW216" s="8"/>
      <c r="BX216" s="8"/>
      <c r="BY216" s="8"/>
      <c r="BZ216" s="8"/>
      <c r="CA216" s="8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</row>
    <row r="217" spans="2:183" s="76" customFormat="1" ht="12" customHeight="1">
      <c r="B217" s="8"/>
      <c r="C217" s="8"/>
      <c r="D217" s="75"/>
      <c r="E217" s="75"/>
      <c r="F217" s="75"/>
      <c r="G217" s="75"/>
      <c r="H217" s="75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6"/>
      <c r="AQ217" s="179"/>
      <c r="AR217" s="180"/>
      <c r="AS217" s="180"/>
      <c r="AT217" s="180"/>
      <c r="AU217" s="180"/>
      <c r="AV217" s="183">
        <v>4.26</v>
      </c>
      <c r="AW217" s="185">
        <f t="shared" si="18"/>
        <v>0.12206572769953053</v>
      </c>
      <c r="AX217" s="201">
        <f t="shared" si="16"/>
        <v>0.12206572769953053</v>
      </c>
      <c r="AY217" s="187">
        <v>2.13</v>
      </c>
      <c r="AZ217" s="189">
        <f t="shared" si="19"/>
        <v>0.26568187252583758</v>
      </c>
      <c r="BA217" s="202">
        <f t="shared" si="17"/>
        <v>0.26568187252583758</v>
      </c>
      <c r="BB217" s="202">
        <f t="shared" si="20"/>
        <v>1.3</v>
      </c>
      <c r="BC217" s="181"/>
      <c r="BD217" s="6"/>
      <c r="BF217" s="6"/>
      <c r="BH217" s="6"/>
      <c r="BJ217" s="6"/>
      <c r="BL217" s="6"/>
      <c r="BM217" s="6"/>
      <c r="BN217" s="6"/>
      <c r="BS217" s="8"/>
      <c r="BU217" s="8"/>
      <c r="BV217" s="8"/>
      <c r="BW217" s="8"/>
      <c r="BX217" s="8"/>
      <c r="BY217" s="8"/>
      <c r="BZ217" s="8"/>
      <c r="CA217" s="8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</row>
    <row r="218" spans="2:183" s="76" customFormat="1" ht="12" customHeight="1">
      <c r="B218" s="8"/>
      <c r="C218" s="8"/>
      <c r="D218" s="75"/>
      <c r="E218" s="75"/>
      <c r="F218" s="75"/>
      <c r="G218" s="75"/>
      <c r="H218" s="75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6"/>
      <c r="AQ218" s="179"/>
      <c r="AR218" s="180"/>
      <c r="AS218" s="180"/>
      <c r="AT218" s="180"/>
      <c r="AU218" s="180"/>
      <c r="AV218" s="183">
        <v>4.28</v>
      </c>
      <c r="AW218" s="185">
        <f t="shared" si="18"/>
        <v>0.12149532710280374</v>
      </c>
      <c r="AX218" s="201">
        <f t="shared" si="16"/>
        <v>0.12149532710280374</v>
      </c>
      <c r="AY218" s="187">
        <v>2.14</v>
      </c>
      <c r="AZ218" s="189">
        <f t="shared" si="19"/>
        <v>0.26568187252583758</v>
      </c>
      <c r="BA218" s="202">
        <f t="shared" si="17"/>
        <v>0.26568187252583758</v>
      </c>
      <c r="BB218" s="202">
        <f t="shared" si="20"/>
        <v>1.3</v>
      </c>
      <c r="BC218" s="181"/>
      <c r="BD218" s="6"/>
      <c r="BF218" s="6"/>
      <c r="BH218" s="6"/>
      <c r="BJ218" s="6"/>
      <c r="BL218" s="6"/>
      <c r="BM218" s="6"/>
      <c r="BN218" s="6"/>
      <c r="BS218" s="8"/>
      <c r="BU218" s="8"/>
      <c r="BV218" s="8"/>
      <c r="BW218" s="8"/>
      <c r="BX218" s="8"/>
      <c r="BY218" s="8"/>
      <c r="BZ218" s="8"/>
      <c r="CA218" s="8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</row>
    <row r="219" spans="2:183" s="76" customFormat="1" ht="12" customHeight="1">
      <c r="B219" s="8"/>
      <c r="C219" s="8"/>
      <c r="D219" s="75"/>
      <c r="E219" s="75"/>
      <c r="F219" s="75"/>
      <c r="G219" s="75"/>
      <c r="H219" s="75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6"/>
      <c r="AQ219" s="179"/>
      <c r="AR219" s="180"/>
      <c r="AS219" s="180"/>
      <c r="AT219" s="180"/>
      <c r="AU219" s="180"/>
      <c r="AV219" s="183">
        <v>4.3</v>
      </c>
      <c r="AW219" s="185">
        <f t="shared" si="18"/>
        <v>0.12093023255813955</v>
      </c>
      <c r="AX219" s="201">
        <f t="shared" si="16"/>
        <v>0.12093023255813955</v>
      </c>
      <c r="AY219" s="187">
        <v>2.15</v>
      </c>
      <c r="AZ219" s="189">
        <f t="shared" si="19"/>
        <v>0.26568187252583758</v>
      </c>
      <c r="BA219" s="202">
        <f t="shared" si="17"/>
        <v>0.26568187252583758</v>
      </c>
      <c r="BB219" s="202">
        <f t="shared" si="20"/>
        <v>1.3</v>
      </c>
      <c r="BC219" s="181"/>
      <c r="BD219" s="6"/>
      <c r="BF219" s="6"/>
      <c r="BH219" s="6"/>
      <c r="BJ219" s="6"/>
      <c r="BL219" s="6"/>
      <c r="BM219" s="6"/>
      <c r="BN219" s="6"/>
      <c r="BS219" s="8"/>
      <c r="BU219" s="8"/>
      <c r="BV219" s="8"/>
      <c r="BW219" s="8"/>
      <c r="BX219" s="8"/>
      <c r="BY219" s="8"/>
      <c r="BZ219" s="8"/>
      <c r="CA219" s="8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</row>
    <row r="220" spans="2:183" s="76" customFormat="1" ht="12" customHeight="1">
      <c r="B220" s="8"/>
      <c r="C220" s="8"/>
      <c r="D220" s="75"/>
      <c r="E220" s="75"/>
      <c r="F220" s="75"/>
      <c r="G220" s="75"/>
      <c r="H220" s="75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6"/>
      <c r="AQ220" s="179"/>
      <c r="AR220" s="180"/>
      <c r="AS220" s="180"/>
      <c r="AT220" s="180"/>
      <c r="AU220" s="180"/>
      <c r="AV220" s="183">
        <v>4.32</v>
      </c>
      <c r="AW220" s="185">
        <f t="shared" si="18"/>
        <v>0.12037037037037036</v>
      </c>
      <c r="AX220" s="201">
        <f t="shared" si="16"/>
        <v>0.12037037037037036</v>
      </c>
      <c r="AY220" s="187">
        <v>2.16</v>
      </c>
      <c r="AZ220" s="189">
        <f t="shared" si="19"/>
        <v>0.26568187252583758</v>
      </c>
      <c r="BA220" s="202">
        <f t="shared" si="17"/>
        <v>0.26568187252583758</v>
      </c>
      <c r="BB220" s="202">
        <f t="shared" si="20"/>
        <v>1.3</v>
      </c>
      <c r="BC220" s="181"/>
      <c r="BD220" s="6"/>
      <c r="BF220" s="6"/>
      <c r="BH220" s="6"/>
      <c r="BJ220" s="6"/>
      <c r="BL220" s="6"/>
      <c r="BM220" s="6"/>
      <c r="BN220" s="6"/>
      <c r="BS220" s="8"/>
      <c r="BU220" s="8"/>
      <c r="BV220" s="8"/>
      <c r="BW220" s="8"/>
      <c r="BX220" s="8"/>
      <c r="BY220" s="8"/>
      <c r="BZ220" s="8"/>
      <c r="CA220" s="8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</row>
    <row r="221" spans="2:183" s="76" customFormat="1" ht="12" customHeight="1">
      <c r="B221" s="8"/>
      <c r="C221" s="8"/>
      <c r="D221" s="75"/>
      <c r="E221" s="75"/>
      <c r="F221" s="75"/>
      <c r="G221" s="75"/>
      <c r="H221" s="75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6"/>
      <c r="AQ221" s="179"/>
      <c r="AR221" s="180"/>
      <c r="AS221" s="180"/>
      <c r="AT221" s="180"/>
      <c r="AU221" s="180"/>
      <c r="AV221" s="183">
        <v>4.34</v>
      </c>
      <c r="AW221" s="185">
        <f t="shared" si="18"/>
        <v>0.11981566820276499</v>
      </c>
      <c r="AX221" s="201">
        <f t="shared" si="16"/>
        <v>0.11981566820276499</v>
      </c>
      <c r="AY221" s="187">
        <v>2.17</v>
      </c>
      <c r="AZ221" s="189">
        <f t="shared" si="19"/>
        <v>0.26568187252583758</v>
      </c>
      <c r="BA221" s="202">
        <f t="shared" si="17"/>
        <v>0.26568187252583758</v>
      </c>
      <c r="BB221" s="202">
        <f t="shared" si="20"/>
        <v>1.3</v>
      </c>
      <c r="BC221" s="181"/>
      <c r="BD221" s="6"/>
      <c r="BF221" s="6"/>
      <c r="BH221" s="6"/>
      <c r="BJ221" s="6"/>
      <c r="BL221" s="6"/>
      <c r="BM221" s="6"/>
      <c r="BN221" s="6"/>
      <c r="BS221" s="8"/>
      <c r="BU221" s="8"/>
      <c r="BV221" s="8"/>
      <c r="BW221" s="8"/>
      <c r="BX221" s="8"/>
      <c r="BY221" s="8"/>
      <c r="BZ221" s="8"/>
      <c r="CA221" s="8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</row>
    <row r="222" spans="2:183" s="76" customFormat="1" ht="12" customHeight="1">
      <c r="B222" s="8"/>
      <c r="C222" s="8"/>
      <c r="D222" s="75"/>
      <c r="E222" s="75"/>
      <c r="F222" s="75"/>
      <c r="G222" s="75"/>
      <c r="H222" s="75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6"/>
      <c r="AQ222" s="179"/>
      <c r="AR222" s="180"/>
      <c r="AS222" s="180"/>
      <c r="AT222" s="180"/>
      <c r="AU222" s="180"/>
      <c r="AV222" s="183">
        <v>4.3600000000000003</v>
      </c>
      <c r="AW222" s="185">
        <f t="shared" si="18"/>
        <v>0.11926605504587155</v>
      </c>
      <c r="AX222" s="201">
        <f t="shared" si="16"/>
        <v>0.11926605504587155</v>
      </c>
      <c r="AY222" s="187">
        <v>2.1800000000000002</v>
      </c>
      <c r="AZ222" s="189">
        <f t="shared" si="19"/>
        <v>0.26568187252583758</v>
      </c>
      <c r="BA222" s="202">
        <f t="shared" si="17"/>
        <v>0.26568187252583758</v>
      </c>
      <c r="BB222" s="202">
        <f t="shared" si="20"/>
        <v>1.3</v>
      </c>
      <c r="BC222" s="181"/>
      <c r="BD222" s="6"/>
      <c r="BF222" s="6"/>
      <c r="BH222" s="6"/>
      <c r="BJ222" s="6"/>
      <c r="BL222" s="6"/>
      <c r="BM222" s="6"/>
      <c r="BN222" s="6"/>
      <c r="BS222" s="8"/>
      <c r="BU222" s="8"/>
      <c r="BV222" s="8"/>
      <c r="BW222" s="8"/>
      <c r="BX222" s="8"/>
      <c r="BY222" s="8"/>
      <c r="BZ222" s="8"/>
      <c r="CA222" s="8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</row>
    <row r="223" spans="2:183" s="76" customFormat="1" ht="12" customHeight="1">
      <c r="B223" s="8"/>
      <c r="C223" s="8"/>
      <c r="D223" s="75"/>
      <c r="E223" s="75"/>
      <c r="F223" s="75"/>
      <c r="G223" s="75"/>
      <c r="H223" s="75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6"/>
      <c r="AQ223" s="179"/>
      <c r="AR223" s="180"/>
      <c r="AS223" s="180"/>
      <c r="AT223" s="180"/>
      <c r="AU223" s="180"/>
      <c r="AV223" s="183">
        <v>4.38</v>
      </c>
      <c r="AW223" s="185">
        <f t="shared" si="18"/>
        <v>0.11872146118721462</v>
      </c>
      <c r="AX223" s="201">
        <f t="shared" si="16"/>
        <v>0.11872146118721462</v>
      </c>
      <c r="AY223" s="187">
        <v>2.19</v>
      </c>
      <c r="AZ223" s="189">
        <f t="shared" si="19"/>
        <v>0.26568187252583758</v>
      </c>
      <c r="BA223" s="202">
        <f t="shared" si="17"/>
        <v>0.26568187252583758</v>
      </c>
      <c r="BB223" s="202">
        <f t="shared" si="20"/>
        <v>1.3</v>
      </c>
      <c r="BC223" s="181"/>
      <c r="BD223" s="6"/>
      <c r="BF223" s="6"/>
      <c r="BH223" s="6"/>
      <c r="BJ223" s="6"/>
      <c r="BL223" s="6"/>
      <c r="BM223" s="6"/>
      <c r="BN223" s="6"/>
      <c r="BS223" s="8"/>
      <c r="BU223" s="8"/>
      <c r="BV223" s="8"/>
      <c r="BW223" s="8"/>
      <c r="BX223" s="8"/>
      <c r="BY223" s="8"/>
      <c r="BZ223" s="8"/>
      <c r="CA223" s="8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</row>
    <row r="224" spans="2:183" s="76" customFormat="1" ht="12" customHeight="1">
      <c r="B224" s="8"/>
      <c r="C224" s="8"/>
      <c r="D224" s="75"/>
      <c r="E224" s="75"/>
      <c r="F224" s="75"/>
      <c r="G224" s="75"/>
      <c r="H224" s="75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6"/>
      <c r="AQ224" s="179"/>
      <c r="AR224" s="180"/>
      <c r="AS224" s="180"/>
      <c r="AT224" s="180"/>
      <c r="AU224" s="180"/>
      <c r="AV224" s="183">
        <v>4.4000000000000004</v>
      </c>
      <c r="AW224" s="185">
        <f t="shared" si="18"/>
        <v>0.11818181818181818</v>
      </c>
      <c r="AX224" s="201">
        <f t="shared" si="16"/>
        <v>0.11818181818181818</v>
      </c>
      <c r="AY224" s="187">
        <v>2.2000000000000002</v>
      </c>
      <c r="AZ224" s="189">
        <f t="shared" si="19"/>
        <v>0.26568187252583758</v>
      </c>
      <c r="BA224" s="202">
        <f t="shared" si="17"/>
        <v>0.26568187252583758</v>
      </c>
      <c r="BB224" s="202">
        <f t="shared" si="20"/>
        <v>1.3</v>
      </c>
      <c r="BC224" s="181"/>
      <c r="BD224" s="6"/>
      <c r="BF224" s="6"/>
      <c r="BH224" s="6"/>
      <c r="BJ224" s="6"/>
      <c r="BL224" s="6"/>
      <c r="BM224" s="6"/>
      <c r="BN224" s="6"/>
      <c r="BS224" s="8"/>
      <c r="BU224" s="8"/>
      <c r="BV224" s="8"/>
      <c r="BW224" s="8"/>
      <c r="BX224" s="8"/>
      <c r="BY224" s="8"/>
      <c r="BZ224" s="8"/>
      <c r="CA224" s="8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</row>
    <row r="225" spans="2:183" s="76" customFormat="1" ht="12" customHeight="1">
      <c r="B225" s="8"/>
      <c r="C225" s="8"/>
      <c r="D225" s="75"/>
      <c r="E225" s="75"/>
      <c r="F225" s="75"/>
      <c r="G225" s="75"/>
      <c r="H225" s="75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6"/>
      <c r="AQ225" s="179"/>
      <c r="AR225" s="180"/>
      <c r="AS225" s="180"/>
      <c r="AT225" s="180"/>
      <c r="AU225" s="180"/>
      <c r="AV225" s="183">
        <v>4.42</v>
      </c>
      <c r="AW225" s="185">
        <f t="shared" si="18"/>
        <v>0.11764705882352942</v>
      </c>
      <c r="AX225" s="201">
        <f t="shared" si="16"/>
        <v>0.11764705882352942</v>
      </c>
      <c r="AY225" s="187">
        <v>2.21</v>
      </c>
      <c r="AZ225" s="189">
        <f t="shared" si="19"/>
        <v>0.26568187252583758</v>
      </c>
      <c r="BA225" s="202">
        <f t="shared" si="17"/>
        <v>0.26568187252583758</v>
      </c>
      <c r="BB225" s="202">
        <f t="shared" si="20"/>
        <v>1.3</v>
      </c>
      <c r="BC225" s="181"/>
      <c r="BD225" s="6"/>
      <c r="BF225" s="6"/>
      <c r="BH225" s="6"/>
      <c r="BJ225" s="6"/>
      <c r="BL225" s="6"/>
      <c r="BM225" s="6"/>
      <c r="BN225" s="6"/>
      <c r="BS225" s="8"/>
      <c r="BU225" s="8"/>
      <c r="BV225" s="8"/>
      <c r="BW225" s="8"/>
      <c r="BX225" s="8"/>
      <c r="BY225" s="8"/>
      <c r="BZ225" s="8"/>
      <c r="CA225" s="8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</row>
    <row r="226" spans="2:183" s="76" customFormat="1" ht="12" customHeight="1">
      <c r="B226" s="8"/>
      <c r="C226" s="8"/>
      <c r="D226" s="75"/>
      <c r="E226" s="75"/>
      <c r="F226" s="75"/>
      <c r="G226" s="75"/>
      <c r="H226" s="75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6"/>
      <c r="AQ226" s="179"/>
      <c r="AR226" s="180"/>
      <c r="AS226" s="180"/>
      <c r="AT226" s="180"/>
      <c r="AU226" s="180"/>
      <c r="AV226" s="183">
        <v>4.4400000000000004</v>
      </c>
      <c r="AW226" s="185">
        <f t="shared" si="18"/>
        <v>0.11711711711711711</v>
      </c>
      <c r="AX226" s="201">
        <f t="shared" si="16"/>
        <v>0.11711711711711711</v>
      </c>
      <c r="AY226" s="187">
        <v>2.2200000000000002</v>
      </c>
      <c r="AZ226" s="189">
        <f t="shared" si="19"/>
        <v>0.26568187252583758</v>
      </c>
      <c r="BA226" s="202">
        <f t="shared" si="17"/>
        <v>0.26568187252583758</v>
      </c>
      <c r="BB226" s="202">
        <f t="shared" si="20"/>
        <v>1.3</v>
      </c>
      <c r="BC226" s="181"/>
      <c r="BD226" s="6"/>
      <c r="BF226" s="6"/>
      <c r="BH226" s="6"/>
      <c r="BJ226" s="6"/>
      <c r="BL226" s="6"/>
      <c r="BM226" s="6"/>
      <c r="BN226" s="6"/>
      <c r="BS226" s="8"/>
      <c r="BU226" s="8"/>
      <c r="BV226" s="8"/>
      <c r="BW226" s="8"/>
      <c r="BX226" s="8"/>
      <c r="BY226" s="8"/>
      <c r="BZ226" s="8"/>
      <c r="CA226" s="8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/>
    </row>
    <row r="227" spans="2:183" s="76" customFormat="1" ht="12" customHeight="1">
      <c r="B227" s="8"/>
      <c r="C227" s="8"/>
      <c r="D227" s="75"/>
      <c r="E227" s="75"/>
      <c r="F227" s="75"/>
      <c r="G227" s="75"/>
      <c r="H227" s="75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6"/>
      <c r="AQ227" s="179"/>
      <c r="AR227" s="180"/>
      <c r="AS227" s="180"/>
      <c r="AT227" s="180"/>
      <c r="AU227" s="180"/>
      <c r="AV227" s="183">
        <v>4.46</v>
      </c>
      <c r="AW227" s="185">
        <f t="shared" si="18"/>
        <v>0.11659192825112108</v>
      </c>
      <c r="AX227" s="201">
        <f t="shared" si="16"/>
        <v>0.11659192825112108</v>
      </c>
      <c r="AY227" s="187">
        <v>2.23</v>
      </c>
      <c r="AZ227" s="189">
        <f t="shared" si="19"/>
        <v>0.26568187252583758</v>
      </c>
      <c r="BA227" s="202">
        <f t="shared" si="17"/>
        <v>0.26568187252583758</v>
      </c>
      <c r="BB227" s="202">
        <f t="shared" si="20"/>
        <v>1.3</v>
      </c>
      <c r="BC227" s="181"/>
      <c r="BD227" s="6"/>
      <c r="BF227" s="6"/>
      <c r="BH227" s="6"/>
      <c r="BJ227" s="6"/>
      <c r="BL227" s="6"/>
      <c r="BM227" s="6"/>
      <c r="BN227" s="6"/>
      <c r="BS227" s="8"/>
      <c r="BU227" s="8"/>
      <c r="BV227" s="8"/>
      <c r="BW227" s="8"/>
      <c r="BX227" s="8"/>
      <c r="BY227" s="8"/>
      <c r="BZ227" s="8"/>
      <c r="CA227" s="8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</row>
    <row r="228" spans="2:183" s="76" customFormat="1" ht="12" customHeight="1">
      <c r="B228" s="8"/>
      <c r="C228" s="8"/>
      <c r="D228" s="75"/>
      <c r="E228" s="75"/>
      <c r="F228" s="75"/>
      <c r="G228" s="75"/>
      <c r="H228" s="75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6"/>
      <c r="AQ228" s="179"/>
      <c r="AR228" s="180"/>
      <c r="AS228" s="180"/>
      <c r="AT228" s="180"/>
      <c r="AU228" s="180"/>
      <c r="AV228" s="183">
        <v>4.4800000000000004</v>
      </c>
      <c r="AW228" s="185">
        <f t="shared" si="18"/>
        <v>0.11607142857142856</v>
      </c>
      <c r="AX228" s="201">
        <f t="shared" si="16"/>
        <v>0.11607142857142856</v>
      </c>
      <c r="AY228" s="187">
        <v>2.2400000000000002</v>
      </c>
      <c r="AZ228" s="189">
        <f t="shared" si="19"/>
        <v>0.26568187252583758</v>
      </c>
      <c r="BA228" s="202">
        <f t="shared" si="17"/>
        <v>0.26568187252583758</v>
      </c>
      <c r="BB228" s="202">
        <f t="shared" si="20"/>
        <v>1.3</v>
      </c>
      <c r="BC228" s="181"/>
      <c r="BD228" s="6"/>
      <c r="BF228" s="6"/>
      <c r="BH228" s="6"/>
      <c r="BJ228" s="6"/>
      <c r="BL228" s="6"/>
      <c r="BM228" s="6"/>
      <c r="BN228" s="6"/>
      <c r="BS228" s="8"/>
      <c r="BU228" s="8"/>
      <c r="BV228" s="8"/>
      <c r="BW228" s="8"/>
      <c r="BX228" s="8"/>
      <c r="BY228" s="8"/>
      <c r="BZ228" s="8"/>
      <c r="CA228" s="8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</row>
    <row r="229" spans="2:183" s="76" customFormat="1" ht="12" customHeight="1">
      <c r="B229" s="8"/>
      <c r="C229" s="8"/>
      <c r="D229" s="75"/>
      <c r="E229" s="75"/>
      <c r="F229" s="75"/>
      <c r="G229" s="75"/>
      <c r="H229" s="75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6"/>
      <c r="AQ229" s="179"/>
      <c r="AR229" s="180"/>
      <c r="AS229" s="180"/>
      <c r="AT229" s="180"/>
      <c r="AU229" s="180"/>
      <c r="AV229" s="183">
        <v>4.5</v>
      </c>
      <c r="AW229" s="185">
        <f t="shared" si="18"/>
        <v>0.11555555555555556</v>
      </c>
      <c r="AX229" s="201">
        <f t="shared" si="16"/>
        <v>0.11555555555555556</v>
      </c>
      <c r="AY229" s="187">
        <v>2.25</v>
      </c>
      <c r="AZ229" s="189">
        <f t="shared" si="19"/>
        <v>0.26568187252583758</v>
      </c>
      <c r="BA229" s="202">
        <f t="shared" si="17"/>
        <v>0.26568187252583758</v>
      </c>
      <c r="BB229" s="202">
        <f t="shared" si="20"/>
        <v>1.3</v>
      </c>
      <c r="BC229" s="181"/>
      <c r="BD229" s="6"/>
      <c r="BF229" s="6"/>
      <c r="BH229" s="6"/>
      <c r="BJ229" s="6"/>
      <c r="BL229" s="6"/>
      <c r="BM229" s="6"/>
      <c r="BN229" s="6"/>
      <c r="BS229" s="8"/>
      <c r="BU229" s="8"/>
      <c r="BV229" s="8"/>
      <c r="BW229" s="8"/>
      <c r="BX229" s="8"/>
      <c r="BY229" s="8"/>
      <c r="BZ229" s="8"/>
      <c r="CA229" s="8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</row>
    <row r="230" spans="2:183" s="76" customFormat="1" ht="12" customHeight="1">
      <c r="B230" s="8"/>
      <c r="C230" s="8"/>
      <c r="D230" s="75"/>
      <c r="E230" s="75"/>
      <c r="F230" s="75"/>
      <c r="G230" s="75"/>
      <c r="H230" s="75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6"/>
      <c r="AQ230" s="179"/>
      <c r="AR230" s="180"/>
      <c r="AS230" s="180"/>
      <c r="AT230" s="180"/>
      <c r="AU230" s="180"/>
      <c r="AV230" s="183">
        <v>4.5199999999999996</v>
      </c>
      <c r="AW230" s="185">
        <f t="shared" si="18"/>
        <v>0.11504424778761063</v>
      </c>
      <c r="AX230" s="201">
        <f t="shared" si="16"/>
        <v>0.11504424778761063</v>
      </c>
      <c r="AY230" s="187">
        <v>2.2599999999999998</v>
      </c>
      <c r="AZ230" s="189">
        <f t="shared" si="19"/>
        <v>0.26568187252583758</v>
      </c>
      <c r="BA230" s="202">
        <f t="shared" si="17"/>
        <v>0.26568187252583758</v>
      </c>
      <c r="BB230" s="202">
        <f t="shared" si="20"/>
        <v>1.3</v>
      </c>
      <c r="BC230" s="181"/>
      <c r="BD230" s="6"/>
      <c r="BF230" s="6"/>
      <c r="BH230" s="6"/>
      <c r="BJ230" s="6"/>
      <c r="BL230" s="6"/>
      <c r="BM230" s="6"/>
      <c r="BN230" s="6"/>
      <c r="BS230" s="8"/>
      <c r="BU230" s="8"/>
      <c r="BV230" s="8"/>
      <c r="BW230" s="8"/>
      <c r="BX230" s="8"/>
      <c r="BY230" s="8"/>
      <c r="BZ230" s="8"/>
      <c r="CA230" s="8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</row>
    <row r="231" spans="2:183" s="76" customFormat="1" ht="12" customHeight="1">
      <c r="B231" s="8"/>
      <c r="C231" s="8"/>
      <c r="D231" s="75"/>
      <c r="E231" s="75"/>
      <c r="F231" s="75"/>
      <c r="G231" s="75"/>
      <c r="H231" s="75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6"/>
      <c r="AQ231" s="179"/>
      <c r="AR231" s="180"/>
      <c r="AS231" s="180"/>
      <c r="AT231" s="180"/>
      <c r="AU231" s="180"/>
      <c r="AV231" s="183">
        <v>4.54</v>
      </c>
      <c r="AW231" s="185">
        <f t="shared" si="18"/>
        <v>0.11453744493392071</v>
      </c>
      <c r="AX231" s="201">
        <f t="shared" si="16"/>
        <v>0.11453744493392071</v>
      </c>
      <c r="AY231" s="187">
        <v>2.27</v>
      </c>
      <c r="AZ231" s="189">
        <f t="shared" si="19"/>
        <v>0.26568187252583758</v>
      </c>
      <c r="BA231" s="202">
        <f t="shared" si="17"/>
        <v>0.26568187252583758</v>
      </c>
      <c r="BB231" s="202">
        <f t="shared" si="20"/>
        <v>1.3</v>
      </c>
      <c r="BC231" s="181"/>
      <c r="BD231" s="6"/>
      <c r="BF231" s="6"/>
      <c r="BH231" s="6"/>
      <c r="BJ231" s="6"/>
      <c r="BL231" s="6"/>
      <c r="BM231" s="6"/>
      <c r="BN231" s="6"/>
      <c r="BS231" s="8"/>
      <c r="BU231" s="8"/>
      <c r="BV231" s="8"/>
      <c r="BW231" s="8"/>
      <c r="BX231" s="8"/>
      <c r="BY231" s="8"/>
      <c r="BZ231" s="8"/>
      <c r="CA231" s="8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</row>
    <row r="232" spans="2:183" s="76" customFormat="1" ht="12" customHeight="1">
      <c r="B232" s="8"/>
      <c r="C232" s="8"/>
      <c r="D232" s="75"/>
      <c r="E232" s="75"/>
      <c r="F232" s="75"/>
      <c r="G232" s="75"/>
      <c r="H232" s="75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6"/>
      <c r="AQ232" s="179"/>
      <c r="AR232" s="180"/>
      <c r="AS232" s="180"/>
      <c r="AT232" s="180"/>
      <c r="AU232" s="180"/>
      <c r="AV232" s="183">
        <v>4.5599999999999996</v>
      </c>
      <c r="AW232" s="185">
        <f t="shared" si="18"/>
        <v>0.11403508771929825</v>
      </c>
      <c r="AX232" s="201">
        <f t="shared" si="16"/>
        <v>0.11403508771929825</v>
      </c>
      <c r="AY232" s="187">
        <v>2.2799999999999998</v>
      </c>
      <c r="AZ232" s="189">
        <f t="shared" si="19"/>
        <v>0.26568187252583758</v>
      </c>
      <c r="BA232" s="202">
        <f t="shared" si="17"/>
        <v>0.26568187252583758</v>
      </c>
      <c r="BB232" s="202">
        <f t="shared" si="20"/>
        <v>1.3</v>
      </c>
      <c r="BC232" s="181"/>
      <c r="BD232" s="6"/>
      <c r="BF232" s="6"/>
      <c r="BH232" s="6"/>
      <c r="BJ232" s="6"/>
      <c r="BL232" s="6"/>
      <c r="BM232" s="6"/>
      <c r="BN232" s="6"/>
      <c r="BS232" s="8"/>
      <c r="BU232" s="8"/>
      <c r="BV232" s="8"/>
      <c r="BW232" s="8"/>
      <c r="BX232" s="8"/>
      <c r="BY232" s="8"/>
      <c r="BZ232" s="8"/>
      <c r="CA232" s="8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</row>
    <row r="233" spans="2:183" s="76" customFormat="1" ht="12" customHeight="1">
      <c r="B233" s="8"/>
      <c r="C233" s="8"/>
      <c r="D233" s="75"/>
      <c r="E233" s="75"/>
      <c r="F233" s="75"/>
      <c r="G233" s="75"/>
      <c r="H233" s="75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6"/>
      <c r="AQ233" s="179"/>
      <c r="AR233" s="180"/>
      <c r="AS233" s="180"/>
      <c r="AT233" s="180"/>
      <c r="AU233" s="180"/>
      <c r="AV233" s="183">
        <v>4.58</v>
      </c>
      <c r="AW233" s="185">
        <f t="shared" si="18"/>
        <v>0.11353711790393013</v>
      </c>
      <c r="AX233" s="201">
        <f t="shared" si="16"/>
        <v>0.11353711790393013</v>
      </c>
      <c r="AY233" s="187">
        <v>2.29</v>
      </c>
      <c r="AZ233" s="189">
        <f t="shared" si="19"/>
        <v>0.26568187252583758</v>
      </c>
      <c r="BA233" s="202">
        <f t="shared" si="17"/>
        <v>0.26568187252583758</v>
      </c>
      <c r="BB233" s="202">
        <f t="shared" si="20"/>
        <v>1.3</v>
      </c>
      <c r="BC233" s="181"/>
      <c r="BD233" s="6"/>
      <c r="BF233" s="6"/>
      <c r="BH233" s="6"/>
      <c r="BJ233" s="6"/>
      <c r="BL233" s="6"/>
      <c r="BM233" s="6"/>
      <c r="BN233" s="6"/>
      <c r="BS233" s="8"/>
      <c r="BU233" s="8"/>
      <c r="BV233" s="8"/>
      <c r="BW233" s="8"/>
      <c r="BX233" s="8"/>
      <c r="BY233" s="8"/>
      <c r="BZ233" s="8"/>
      <c r="CA233" s="8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</row>
    <row r="234" spans="2:183" s="76" customFormat="1" ht="12" customHeight="1">
      <c r="B234" s="8"/>
      <c r="C234" s="8"/>
      <c r="D234" s="75"/>
      <c r="E234" s="75"/>
      <c r="F234" s="75"/>
      <c r="G234" s="75"/>
      <c r="H234" s="75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6"/>
      <c r="AQ234" s="179"/>
      <c r="AR234" s="180"/>
      <c r="AS234" s="180"/>
      <c r="AT234" s="180"/>
      <c r="AU234" s="180"/>
      <c r="AV234" s="183">
        <v>4.5999999999999996</v>
      </c>
      <c r="AW234" s="185">
        <f t="shared" si="18"/>
        <v>0.11304347826086958</v>
      </c>
      <c r="AX234" s="201">
        <f t="shared" si="16"/>
        <v>0.11304347826086958</v>
      </c>
      <c r="AY234" s="187">
        <v>2.2999999999999998</v>
      </c>
      <c r="AZ234" s="189">
        <f t="shared" si="19"/>
        <v>0.26568187252583758</v>
      </c>
      <c r="BA234" s="202">
        <f t="shared" si="17"/>
        <v>0.26568187252583758</v>
      </c>
      <c r="BB234" s="202">
        <f t="shared" si="20"/>
        <v>1.3</v>
      </c>
      <c r="BC234" s="181"/>
      <c r="BD234" s="6"/>
      <c r="BF234" s="6"/>
      <c r="BH234" s="6"/>
      <c r="BJ234" s="6"/>
      <c r="BL234" s="6"/>
      <c r="BM234" s="6"/>
      <c r="BN234" s="6"/>
      <c r="BS234" s="8"/>
      <c r="BU234" s="8"/>
      <c r="BV234" s="8"/>
      <c r="BW234" s="8"/>
      <c r="BX234" s="8"/>
      <c r="BY234" s="8"/>
      <c r="BZ234" s="8"/>
      <c r="CA234" s="8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</row>
    <row r="235" spans="2:183" s="76" customFormat="1" ht="12" customHeight="1">
      <c r="B235" s="8"/>
      <c r="C235" s="8"/>
      <c r="D235" s="75"/>
      <c r="E235" s="75"/>
      <c r="F235" s="75"/>
      <c r="G235" s="75"/>
      <c r="H235" s="75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6"/>
      <c r="AQ235" s="179"/>
      <c r="AR235" s="180"/>
      <c r="AS235" s="180"/>
      <c r="AT235" s="180"/>
      <c r="AU235" s="180"/>
      <c r="AV235" s="183">
        <v>4.62</v>
      </c>
      <c r="AW235" s="185">
        <f t="shared" si="18"/>
        <v>0.11255411255411256</v>
      </c>
      <c r="AX235" s="201">
        <f t="shared" si="16"/>
        <v>0.11255411255411256</v>
      </c>
      <c r="AY235" s="187">
        <v>2.31</v>
      </c>
      <c r="AZ235" s="189">
        <f t="shared" si="19"/>
        <v>0.26568187252583758</v>
      </c>
      <c r="BA235" s="202">
        <f t="shared" si="17"/>
        <v>0.26568187252583758</v>
      </c>
      <c r="BB235" s="202">
        <f t="shared" si="20"/>
        <v>1.3</v>
      </c>
      <c r="BC235" s="181"/>
      <c r="BD235" s="6"/>
      <c r="BF235" s="6"/>
      <c r="BH235" s="6"/>
      <c r="BJ235" s="6"/>
      <c r="BL235" s="6"/>
      <c r="BM235" s="6"/>
      <c r="BN235" s="6"/>
      <c r="BS235" s="8"/>
      <c r="BU235" s="8"/>
      <c r="BV235" s="8"/>
      <c r="BW235" s="8"/>
      <c r="BX235" s="8"/>
      <c r="BY235" s="8"/>
      <c r="BZ235" s="8"/>
      <c r="CA235" s="8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</row>
    <row r="236" spans="2:183" s="76" customFormat="1" ht="12" customHeight="1">
      <c r="B236" s="8"/>
      <c r="C236" s="8"/>
      <c r="D236" s="75"/>
      <c r="E236" s="75"/>
      <c r="F236" s="75"/>
      <c r="G236" s="75"/>
      <c r="H236" s="75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6"/>
      <c r="AQ236" s="179"/>
      <c r="AR236" s="180"/>
      <c r="AS236" s="180"/>
      <c r="AT236" s="180"/>
      <c r="AU236" s="180"/>
      <c r="AV236" s="183">
        <v>4.6399999999999997</v>
      </c>
      <c r="AW236" s="185">
        <f t="shared" si="18"/>
        <v>0.1120689655172414</v>
      </c>
      <c r="AX236" s="201">
        <f t="shared" si="16"/>
        <v>0.1120689655172414</v>
      </c>
      <c r="AY236" s="187">
        <v>2.3199999999999998</v>
      </c>
      <c r="AZ236" s="189">
        <f t="shared" si="19"/>
        <v>0.26568187252583758</v>
      </c>
      <c r="BA236" s="202">
        <f t="shared" si="17"/>
        <v>0.26568187252583758</v>
      </c>
      <c r="BB236" s="202">
        <f t="shared" si="20"/>
        <v>1.3</v>
      </c>
      <c r="BC236" s="181"/>
      <c r="BD236" s="6"/>
      <c r="BF236" s="6"/>
      <c r="BH236" s="6"/>
      <c r="BJ236" s="6"/>
      <c r="BL236" s="6"/>
      <c r="BM236" s="6"/>
      <c r="BN236" s="6"/>
      <c r="BS236" s="8"/>
      <c r="BU236" s="8"/>
      <c r="BV236" s="8"/>
      <c r="BW236" s="8"/>
      <c r="BX236" s="8"/>
      <c r="BY236" s="8"/>
      <c r="BZ236" s="8"/>
      <c r="CA236" s="8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6"/>
      <c r="FX236" s="6"/>
      <c r="FY236" s="6"/>
      <c r="FZ236" s="6"/>
      <c r="GA236" s="6"/>
    </row>
    <row r="237" spans="2:183" s="76" customFormat="1" ht="12" customHeight="1">
      <c r="B237" s="8"/>
      <c r="C237" s="8"/>
      <c r="D237" s="75"/>
      <c r="E237" s="75"/>
      <c r="F237" s="75"/>
      <c r="G237" s="75"/>
      <c r="H237" s="75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6"/>
      <c r="AQ237" s="179"/>
      <c r="AR237" s="180"/>
      <c r="AS237" s="180"/>
      <c r="AT237" s="180"/>
      <c r="AU237" s="180"/>
      <c r="AV237" s="183">
        <v>4.66</v>
      </c>
      <c r="AW237" s="185">
        <f t="shared" si="18"/>
        <v>0.11158798283261803</v>
      </c>
      <c r="AX237" s="201">
        <f t="shared" si="16"/>
        <v>0.11158798283261803</v>
      </c>
      <c r="AY237" s="187">
        <v>2.33</v>
      </c>
      <c r="AZ237" s="189">
        <f t="shared" si="19"/>
        <v>0.26568187252583758</v>
      </c>
      <c r="BA237" s="202">
        <f t="shared" si="17"/>
        <v>0.26568187252583758</v>
      </c>
      <c r="BB237" s="202">
        <f t="shared" si="20"/>
        <v>1.3</v>
      </c>
      <c r="BC237" s="181"/>
      <c r="BD237" s="6"/>
      <c r="BF237" s="6"/>
      <c r="BH237" s="6"/>
      <c r="BJ237" s="6"/>
      <c r="BL237" s="6"/>
      <c r="BM237" s="6"/>
      <c r="BN237" s="6"/>
      <c r="BS237" s="8"/>
      <c r="BU237" s="8"/>
      <c r="BV237" s="8"/>
      <c r="BW237" s="8"/>
      <c r="BX237" s="8"/>
      <c r="BY237" s="8"/>
      <c r="BZ237" s="8"/>
      <c r="CA237" s="8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</row>
    <row r="238" spans="2:183" s="76" customFormat="1" ht="12" customHeight="1">
      <c r="B238" s="8"/>
      <c r="C238" s="8"/>
      <c r="D238" s="75"/>
      <c r="E238" s="75"/>
      <c r="F238" s="75"/>
      <c r="G238" s="75"/>
      <c r="H238" s="75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6"/>
      <c r="AQ238" s="179"/>
      <c r="AR238" s="180"/>
      <c r="AS238" s="180"/>
      <c r="AT238" s="180"/>
      <c r="AU238" s="180"/>
      <c r="AV238" s="183">
        <v>4.68</v>
      </c>
      <c r="AW238" s="185">
        <f t="shared" si="18"/>
        <v>0.11111111111111112</v>
      </c>
      <c r="AX238" s="201">
        <f t="shared" si="16"/>
        <v>0.11111111111111112</v>
      </c>
      <c r="AY238" s="187">
        <v>2.34</v>
      </c>
      <c r="AZ238" s="189">
        <f t="shared" si="19"/>
        <v>0.26568187252583758</v>
      </c>
      <c r="BA238" s="202">
        <f t="shared" si="17"/>
        <v>0.26568187252583758</v>
      </c>
      <c r="BB238" s="202">
        <f t="shared" si="20"/>
        <v>1.3</v>
      </c>
      <c r="BC238" s="181"/>
      <c r="BD238" s="6"/>
      <c r="BF238" s="6"/>
      <c r="BH238" s="6"/>
      <c r="BJ238" s="6"/>
      <c r="BL238" s="6"/>
      <c r="BM238" s="6"/>
      <c r="BN238" s="6"/>
      <c r="BS238" s="8"/>
      <c r="BU238" s="8"/>
      <c r="BV238" s="8"/>
      <c r="BW238" s="8"/>
      <c r="BX238" s="8"/>
      <c r="BY238" s="8"/>
      <c r="BZ238" s="8"/>
      <c r="CA238" s="8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</row>
    <row r="239" spans="2:183" s="76" customFormat="1" ht="12" customHeight="1">
      <c r="B239" s="8"/>
      <c r="C239" s="8"/>
      <c r="D239" s="75"/>
      <c r="E239" s="75"/>
      <c r="F239" s="75"/>
      <c r="G239" s="75"/>
      <c r="H239" s="75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6"/>
      <c r="AQ239" s="179"/>
      <c r="AR239" s="180"/>
      <c r="AS239" s="180"/>
      <c r="AT239" s="180"/>
      <c r="AU239" s="180"/>
      <c r="AV239" s="183">
        <v>4.7</v>
      </c>
      <c r="AW239" s="185">
        <f t="shared" si="18"/>
        <v>0.11063829787234042</v>
      </c>
      <c r="AX239" s="201">
        <f t="shared" si="16"/>
        <v>0.11063829787234042</v>
      </c>
      <c r="AY239" s="187">
        <v>2.35</v>
      </c>
      <c r="AZ239" s="189">
        <f t="shared" si="19"/>
        <v>0.26568187252583758</v>
      </c>
      <c r="BA239" s="202">
        <f t="shared" si="17"/>
        <v>0.26568187252583758</v>
      </c>
      <c r="BB239" s="202">
        <f t="shared" si="20"/>
        <v>1.3</v>
      </c>
      <c r="BC239" s="181"/>
      <c r="BD239" s="6"/>
      <c r="BF239" s="6"/>
      <c r="BH239" s="6"/>
      <c r="BJ239" s="6"/>
      <c r="BL239" s="6"/>
      <c r="BM239" s="6"/>
      <c r="BN239" s="6"/>
      <c r="BS239" s="8"/>
      <c r="BU239" s="8"/>
      <c r="BV239" s="8"/>
      <c r="BW239" s="8"/>
      <c r="BX239" s="8"/>
      <c r="BY239" s="8"/>
      <c r="BZ239" s="8"/>
      <c r="CA239" s="8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</row>
    <row r="240" spans="2:183" s="76" customFormat="1" ht="12" customHeight="1">
      <c r="B240" s="8"/>
      <c r="C240" s="8"/>
      <c r="D240" s="75"/>
      <c r="E240" s="75"/>
      <c r="F240" s="75"/>
      <c r="G240" s="75"/>
      <c r="H240" s="75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6"/>
      <c r="AQ240" s="179"/>
      <c r="AR240" s="180"/>
      <c r="AS240" s="180"/>
      <c r="AT240" s="180"/>
      <c r="AU240" s="180"/>
      <c r="AV240" s="183">
        <v>4.72</v>
      </c>
      <c r="AW240" s="185">
        <f t="shared" si="18"/>
        <v>0.11016949152542374</v>
      </c>
      <c r="AX240" s="201">
        <f t="shared" si="16"/>
        <v>0.11016949152542374</v>
      </c>
      <c r="AY240" s="187">
        <v>2.36</v>
      </c>
      <c r="AZ240" s="189">
        <f t="shared" si="19"/>
        <v>0.26568187252583758</v>
      </c>
      <c r="BA240" s="202">
        <f t="shared" si="17"/>
        <v>0.26568187252583758</v>
      </c>
      <c r="BB240" s="202">
        <f t="shared" si="20"/>
        <v>1.3</v>
      </c>
      <c r="BC240" s="181"/>
      <c r="BD240" s="6"/>
      <c r="BF240" s="6"/>
      <c r="BH240" s="6"/>
      <c r="BJ240" s="6"/>
      <c r="BL240" s="6"/>
      <c r="BM240" s="6"/>
      <c r="BN240" s="6"/>
      <c r="BS240" s="8"/>
      <c r="BU240" s="8"/>
      <c r="BV240" s="8"/>
      <c r="BW240" s="8"/>
      <c r="BX240" s="8"/>
      <c r="BY240" s="8"/>
      <c r="BZ240" s="8"/>
      <c r="CA240" s="8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</row>
    <row r="241" spans="2:183" s="76" customFormat="1" ht="12" customHeight="1">
      <c r="B241" s="8"/>
      <c r="C241" s="8"/>
      <c r="D241" s="75"/>
      <c r="E241" s="75"/>
      <c r="F241" s="75"/>
      <c r="G241" s="75"/>
      <c r="H241" s="75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6"/>
      <c r="AQ241" s="179"/>
      <c r="AR241" s="180"/>
      <c r="AS241" s="180"/>
      <c r="AT241" s="180"/>
      <c r="AU241" s="180"/>
      <c r="AV241" s="183">
        <v>4.74</v>
      </c>
      <c r="AW241" s="185">
        <f t="shared" si="18"/>
        <v>0.10970464135021096</v>
      </c>
      <c r="AX241" s="201">
        <f t="shared" si="16"/>
        <v>0.10970464135021096</v>
      </c>
      <c r="AY241" s="187">
        <v>2.37</v>
      </c>
      <c r="AZ241" s="189">
        <f t="shared" si="19"/>
        <v>0.26568187252583758</v>
      </c>
      <c r="BA241" s="202">
        <f t="shared" si="17"/>
        <v>0.26568187252583758</v>
      </c>
      <c r="BB241" s="202">
        <f t="shared" si="20"/>
        <v>1.3</v>
      </c>
      <c r="BC241" s="181"/>
      <c r="BD241" s="6"/>
      <c r="BF241" s="6"/>
      <c r="BH241" s="6"/>
      <c r="BJ241" s="6"/>
      <c r="BL241" s="6"/>
      <c r="BM241" s="6"/>
      <c r="BN241" s="6"/>
      <c r="BS241" s="8"/>
      <c r="BU241" s="8"/>
      <c r="BV241" s="8"/>
      <c r="BW241" s="8"/>
      <c r="BX241" s="8"/>
      <c r="BY241" s="8"/>
      <c r="BZ241" s="8"/>
      <c r="CA241" s="8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</row>
    <row r="242" spans="2:183" s="76" customFormat="1" ht="12" customHeight="1">
      <c r="B242" s="8"/>
      <c r="C242" s="8"/>
      <c r="D242" s="75"/>
      <c r="E242" s="75"/>
      <c r="F242" s="75"/>
      <c r="G242" s="75"/>
      <c r="H242" s="75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6"/>
      <c r="AQ242" s="179"/>
      <c r="AR242" s="180"/>
      <c r="AS242" s="180"/>
      <c r="AT242" s="180"/>
      <c r="AU242" s="180"/>
      <c r="AV242" s="183">
        <v>4.76</v>
      </c>
      <c r="AW242" s="185">
        <f t="shared" si="18"/>
        <v>0.10924369747899161</v>
      </c>
      <c r="AX242" s="201">
        <f t="shared" si="16"/>
        <v>0.10924369747899161</v>
      </c>
      <c r="AY242" s="187">
        <v>2.38</v>
      </c>
      <c r="AZ242" s="189">
        <f t="shared" si="19"/>
        <v>0.26568187252583758</v>
      </c>
      <c r="BA242" s="202">
        <f t="shared" si="17"/>
        <v>0.26568187252583758</v>
      </c>
      <c r="BB242" s="202">
        <f t="shared" si="20"/>
        <v>1.3</v>
      </c>
      <c r="BC242" s="181"/>
      <c r="BD242" s="6"/>
      <c r="BF242" s="6"/>
      <c r="BH242" s="6"/>
      <c r="BJ242" s="6"/>
      <c r="BL242" s="6"/>
      <c r="BM242" s="6"/>
      <c r="BN242" s="6"/>
      <c r="BS242" s="8"/>
      <c r="BU242" s="8"/>
      <c r="BV242" s="8"/>
      <c r="BW242" s="8"/>
      <c r="BX242" s="8"/>
      <c r="BY242" s="8"/>
      <c r="BZ242" s="8"/>
      <c r="CA242" s="8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</row>
    <row r="243" spans="2:183" s="76" customFormat="1" ht="12" customHeight="1">
      <c r="B243" s="8"/>
      <c r="C243" s="8"/>
      <c r="D243" s="75"/>
      <c r="E243" s="75"/>
      <c r="F243" s="75"/>
      <c r="G243" s="75"/>
      <c r="H243" s="75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6"/>
      <c r="AQ243" s="179"/>
      <c r="AR243" s="180"/>
      <c r="AS243" s="180"/>
      <c r="AT243" s="180"/>
      <c r="AU243" s="180"/>
      <c r="AV243" s="183">
        <v>4.78</v>
      </c>
      <c r="AW243" s="185">
        <f t="shared" si="18"/>
        <v>0.10878661087866108</v>
      </c>
      <c r="AX243" s="201">
        <f t="shared" si="16"/>
        <v>0.10878661087866108</v>
      </c>
      <c r="AY243" s="187">
        <v>2.39</v>
      </c>
      <c r="AZ243" s="189">
        <f t="shared" si="19"/>
        <v>0.26568187252583758</v>
      </c>
      <c r="BA243" s="202">
        <f t="shared" si="17"/>
        <v>0.26568187252583758</v>
      </c>
      <c r="BB243" s="202">
        <f t="shared" si="20"/>
        <v>1.3</v>
      </c>
      <c r="BC243" s="181"/>
      <c r="BD243" s="6"/>
      <c r="BF243" s="6"/>
      <c r="BH243" s="6"/>
      <c r="BJ243" s="6"/>
      <c r="BL243" s="6"/>
      <c r="BM243" s="6"/>
      <c r="BN243" s="6"/>
      <c r="BS243" s="8"/>
      <c r="BU243" s="8"/>
      <c r="BV243" s="8"/>
      <c r="BW243" s="8"/>
      <c r="BX243" s="8"/>
      <c r="BY243" s="8"/>
      <c r="BZ243" s="8"/>
      <c r="CA243" s="8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6"/>
      <c r="FX243" s="6"/>
      <c r="FY243" s="6"/>
      <c r="FZ243" s="6"/>
      <c r="GA243" s="6"/>
    </row>
    <row r="244" spans="2:183" s="76" customFormat="1" ht="12" customHeight="1">
      <c r="B244" s="8"/>
      <c r="C244" s="8"/>
      <c r="D244" s="75"/>
      <c r="E244" s="75"/>
      <c r="F244" s="75"/>
      <c r="G244" s="75"/>
      <c r="H244" s="75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6"/>
      <c r="AQ244" s="179"/>
      <c r="AR244" s="180"/>
      <c r="AS244" s="180"/>
      <c r="AT244" s="180"/>
      <c r="AU244" s="180"/>
      <c r="AV244" s="183">
        <v>4.8</v>
      </c>
      <c r="AW244" s="185">
        <f t="shared" si="18"/>
        <v>0.10833333333333334</v>
      </c>
      <c r="AX244" s="201">
        <f t="shared" si="16"/>
        <v>0.10833333333333334</v>
      </c>
      <c r="AY244" s="187">
        <v>2.4</v>
      </c>
      <c r="AZ244" s="189">
        <f t="shared" si="19"/>
        <v>0.26568187252583758</v>
      </c>
      <c r="BA244" s="202">
        <f t="shared" si="17"/>
        <v>0.26568187252583758</v>
      </c>
      <c r="BB244" s="202">
        <f t="shared" si="20"/>
        <v>1.3</v>
      </c>
      <c r="BC244" s="181"/>
      <c r="BD244" s="6"/>
      <c r="BF244" s="6"/>
      <c r="BH244" s="6"/>
      <c r="BJ244" s="6"/>
      <c r="BL244" s="6"/>
      <c r="BM244" s="6"/>
      <c r="BN244" s="6"/>
      <c r="BS244" s="8"/>
      <c r="BU244" s="8"/>
      <c r="BV244" s="8"/>
      <c r="BW244" s="8"/>
      <c r="BX244" s="8"/>
      <c r="BY244" s="8"/>
      <c r="BZ244" s="8"/>
      <c r="CA244" s="8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  <c r="FS244" s="6"/>
      <c r="FT244" s="6"/>
      <c r="FU244" s="6"/>
      <c r="FV244" s="6"/>
      <c r="FW244" s="6"/>
      <c r="FX244" s="6"/>
      <c r="FY244" s="6"/>
      <c r="FZ244" s="6"/>
      <c r="GA244" s="6"/>
    </row>
    <row r="245" spans="2:183" s="76" customFormat="1" ht="12" customHeight="1">
      <c r="B245" s="8"/>
      <c r="C245" s="8"/>
      <c r="D245" s="75"/>
      <c r="E245" s="75"/>
      <c r="F245" s="75"/>
      <c r="G245" s="75"/>
      <c r="H245" s="75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6"/>
      <c r="AQ245" s="179"/>
      <c r="AR245" s="180"/>
      <c r="AS245" s="180"/>
      <c r="AT245" s="180"/>
      <c r="AU245" s="180"/>
      <c r="AV245" s="183">
        <v>4.82</v>
      </c>
      <c r="AW245" s="185">
        <f t="shared" si="18"/>
        <v>0.10788381742738588</v>
      </c>
      <c r="AX245" s="201">
        <f t="shared" si="16"/>
        <v>0.10788381742738588</v>
      </c>
      <c r="AY245" s="187">
        <v>2.41</v>
      </c>
      <c r="AZ245" s="189">
        <f t="shared" si="19"/>
        <v>0.26568187252583758</v>
      </c>
      <c r="BA245" s="202">
        <f t="shared" si="17"/>
        <v>0.26568187252583758</v>
      </c>
      <c r="BB245" s="202">
        <f t="shared" si="20"/>
        <v>1.3</v>
      </c>
      <c r="BC245" s="181"/>
      <c r="BD245" s="6"/>
      <c r="BF245" s="6"/>
      <c r="BH245" s="6"/>
      <c r="BJ245" s="6"/>
      <c r="BL245" s="6"/>
      <c r="BM245" s="6"/>
      <c r="BN245" s="6"/>
      <c r="BS245" s="8"/>
      <c r="BU245" s="8"/>
      <c r="BV245" s="8"/>
      <c r="BW245" s="8"/>
      <c r="BX245" s="8"/>
      <c r="BY245" s="8"/>
      <c r="BZ245" s="8"/>
      <c r="CA245" s="8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</row>
    <row r="246" spans="2:183" s="76" customFormat="1" ht="12" customHeight="1">
      <c r="B246" s="8"/>
      <c r="C246" s="8"/>
      <c r="D246" s="75"/>
      <c r="E246" s="75"/>
      <c r="F246" s="75"/>
      <c r="G246" s="75"/>
      <c r="H246" s="75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6"/>
      <c r="AQ246" s="179"/>
      <c r="AR246" s="180"/>
      <c r="AS246" s="180"/>
      <c r="AT246" s="180"/>
      <c r="AU246" s="180"/>
      <c r="AV246" s="183">
        <v>4.84</v>
      </c>
      <c r="AW246" s="185">
        <f t="shared" si="18"/>
        <v>0.10743801652892562</v>
      </c>
      <c r="AX246" s="201">
        <f t="shared" si="16"/>
        <v>0.10743801652892562</v>
      </c>
      <c r="AY246" s="187">
        <v>2.42</v>
      </c>
      <c r="AZ246" s="189">
        <f t="shared" si="19"/>
        <v>0.26568187252583758</v>
      </c>
      <c r="BA246" s="202">
        <f t="shared" si="17"/>
        <v>0.26568187252583758</v>
      </c>
      <c r="BB246" s="202">
        <f t="shared" si="20"/>
        <v>1.3</v>
      </c>
      <c r="BC246" s="181"/>
      <c r="BD246" s="6"/>
      <c r="BF246" s="6"/>
      <c r="BH246" s="6"/>
      <c r="BJ246" s="6"/>
      <c r="BL246" s="6"/>
      <c r="BM246" s="6"/>
      <c r="BN246" s="6"/>
      <c r="BS246" s="8"/>
      <c r="BU246" s="8"/>
      <c r="BV246" s="8"/>
      <c r="BW246" s="8"/>
      <c r="BX246" s="8"/>
      <c r="BY246" s="8"/>
      <c r="BZ246" s="8"/>
      <c r="CA246" s="8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6"/>
      <c r="FX246" s="6"/>
      <c r="FY246" s="6"/>
      <c r="FZ246" s="6"/>
      <c r="GA246" s="6"/>
    </row>
    <row r="247" spans="2:183" s="76" customFormat="1" ht="12" customHeight="1">
      <c r="B247" s="8"/>
      <c r="C247" s="8"/>
      <c r="D247" s="75"/>
      <c r="E247" s="75"/>
      <c r="F247" s="75"/>
      <c r="G247" s="75"/>
      <c r="H247" s="75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6"/>
      <c r="AQ247" s="179"/>
      <c r="AR247" s="180"/>
      <c r="AS247" s="180"/>
      <c r="AT247" s="180"/>
      <c r="AU247" s="180"/>
      <c r="AV247" s="183">
        <v>4.8600000000000003</v>
      </c>
      <c r="AW247" s="185">
        <f t="shared" si="18"/>
        <v>0.10699588477366255</v>
      </c>
      <c r="AX247" s="201">
        <f t="shared" si="16"/>
        <v>0.10699588477366255</v>
      </c>
      <c r="AY247" s="187">
        <v>2.4300000000000002</v>
      </c>
      <c r="AZ247" s="189">
        <f t="shared" si="19"/>
        <v>0.26568187252583758</v>
      </c>
      <c r="BA247" s="202">
        <f t="shared" si="17"/>
        <v>0.26568187252583758</v>
      </c>
      <c r="BB247" s="202">
        <f t="shared" si="20"/>
        <v>1.3</v>
      </c>
      <c r="BC247" s="181"/>
      <c r="BD247" s="6"/>
      <c r="BF247" s="6"/>
      <c r="BH247" s="6"/>
      <c r="BJ247" s="6"/>
      <c r="BL247" s="6"/>
      <c r="BM247" s="6"/>
      <c r="BN247" s="6"/>
      <c r="BS247" s="8"/>
      <c r="BU247" s="8"/>
      <c r="BV247" s="8"/>
      <c r="BW247" s="8"/>
      <c r="BX247" s="8"/>
      <c r="BY247" s="8"/>
      <c r="BZ247" s="8"/>
      <c r="CA247" s="8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</row>
    <row r="248" spans="2:183" s="76" customFormat="1" ht="12" customHeight="1">
      <c r="B248" s="8"/>
      <c r="C248" s="8"/>
      <c r="D248" s="75"/>
      <c r="E248" s="75"/>
      <c r="F248" s="75"/>
      <c r="G248" s="75"/>
      <c r="H248" s="75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6"/>
      <c r="AQ248" s="179"/>
      <c r="AR248" s="180"/>
      <c r="AS248" s="180"/>
      <c r="AT248" s="180"/>
      <c r="AU248" s="180"/>
      <c r="AV248" s="183">
        <v>4.88</v>
      </c>
      <c r="AW248" s="185">
        <f t="shared" si="18"/>
        <v>0.10655737704918034</v>
      </c>
      <c r="AX248" s="201">
        <f t="shared" si="16"/>
        <v>0.10655737704918034</v>
      </c>
      <c r="AY248" s="187">
        <v>2.44</v>
      </c>
      <c r="AZ248" s="189">
        <f t="shared" si="19"/>
        <v>0.26568187252583758</v>
      </c>
      <c r="BA248" s="202">
        <f t="shared" si="17"/>
        <v>0.26568187252583758</v>
      </c>
      <c r="BB248" s="202">
        <f t="shared" si="20"/>
        <v>1.3</v>
      </c>
      <c r="BC248" s="181"/>
      <c r="BD248" s="6"/>
      <c r="BF248" s="6"/>
      <c r="BH248" s="6"/>
      <c r="BJ248" s="6"/>
      <c r="BL248" s="6"/>
      <c r="BM248" s="6"/>
      <c r="BN248" s="6"/>
      <c r="BS248" s="8"/>
      <c r="BU248" s="8"/>
      <c r="BV248" s="8"/>
      <c r="BW248" s="8"/>
      <c r="BX248" s="8"/>
      <c r="BY248" s="8"/>
      <c r="BZ248" s="8"/>
      <c r="CA248" s="8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</row>
    <row r="249" spans="2:183" s="76" customFormat="1" ht="12" customHeight="1">
      <c r="B249" s="8"/>
      <c r="C249" s="8"/>
      <c r="D249" s="75"/>
      <c r="E249" s="75"/>
      <c r="F249" s="75"/>
      <c r="G249" s="75"/>
      <c r="H249" s="75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6"/>
      <c r="AQ249" s="179"/>
      <c r="AR249" s="180"/>
      <c r="AS249" s="180"/>
      <c r="AT249" s="180"/>
      <c r="AU249" s="180"/>
      <c r="AV249" s="183">
        <v>4.9000000000000004</v>
      </c>
      <c r="AW249" s="185">
        <f t="shared" si="18"/>
        <v>0.10612244897959183</v>
      </c>
      <c r="AX249" s="201">
        <f t="shared" si="16"/>
        <v>0.10612244897959183</v>
      </c>
      <c r="AY249" s="187">
        <v>2.4500000000000002</v>
      </c>
      <c r="AZ249" s="189">
        <f t="shared" si="19"/>
        <v>0.26568187252583758</v>
      </c>
      <c r="BA249" s="202">
        <f t="shared" si="17"/>
        <v>0.26568187252583758</v>
      </c>
      <c r="BB249" s="202">
        <f t="shared" si="20"/>
        <v>1.3</v>
      </c>
      <c r="BC249" s="181"/>
      <c r="BD249" s="6"/>
      <c r="BF249" s="6"/>
      <c r="BH249" s="6"/>
      <c r="BJ249" s="6"/>
      <c r="BL249" s="6"/>
      <c r="BM249" s="6"/>
      <c r="BN249" s="6"/>
      <c r="BS249" s="8"/>
      <c r="BU249" s="8"/>
      <c r="BV249" s="8"/>
      <c r="BW249" s="8"/>
      <c r="BX249" s="8"/>
      <c r="BY249" s="8"/>
      <c r="BZ249" s="8"/>
      <c r="CA249" s="8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</row>
    <row r="250" spans="2:183" s="76" customFormat="1" ht="12" customHeight="1">
      <c r="B250" s="8"/>
      <c r="C250" s="8"/>
      <c r="D250" s="75"/>
      <c r="E250" s="75"/>
      <c r="F250" s="75"/>
      <c r="G250" s="75"/>
      <c r="H250" s="75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6"/>
      <c r="AQ250" s="179"/>
      <c r="AR250" s="180"/>
      <c r="AS250" s="180"/>
      <c r="AT250" s="180"/>
      <c r="AU250" s="180"/>
      <c r="AV250" s="183">
        <v>4.92</v>
      </c>
      <c r="AW250" s="185">
        <f t="shared" si="18"/>
        <v>0.10569105691056911</v>
      </c>
      <c r="AX250" s="201">
        <f t="shared" si="16"/>
        <v>0.10569105691056911</v>
      </c>
      <c r="AY250" s="187">
        <v>2.46</v>
      </c>
      <c r="AZ250" s="189">
        <f t="shared" si="19"/>
        <v>0.26568187252583758</v>
      </c>
      <c r="BA250" s="202">
        <f t="shared" si="17"/>
        <v>0.26568187252583758</v>
      </c>
      <c r="BB250" s="202">
        <f t="shared" si="20"/>
        <v>1.3</v>
      </c>
      <c r="BC250" s="181"/>
      <c r="BD250" s="6"/>
      <c r="BF250" s="6"/>
      <c r="BH250" s="6"/>
      <c r="BJ250" s="6"/>
      <c r="BL250" s="6"/>
      <c r="BM250" s="6"/>
      <c r="BN250" s="6"/>
      <c r="BS250" s="8"/>
      <c r="BU250" s="8"/>
      <c r="BV250" s="8"/>
      <c r="BW250" s="8"/>
      <c r="BX250" s="8"/>
      <c r="BY250" s="8"/>
      <c r="BZ250" s="8"/>
      <c r="CA250" s="8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6"/>
      <c r="FX250" s="6"/>
      <c r="FY250" s="6"/>
      <c r="FZ250" s="6"/>
      <c r="GA250" s="6"/>
    </row>
    <row r="251" spans="2:183" s="76" customFormat="1" ht="12" customHeight="1">
      <c r="B251" s="8"/>
      <c r="C251" s="8"/>
      <c r="D251" s="75"/>
      <c r="E251" s="75"/>
      <c r="F251" s="75"/>
      <c r="G251" s="75"/>
      <c r="H251" s="75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6"/>
      <c r="AQ251" s="179"/>
      <c r="AR251" s="180"/>
      <c r="AS251" s="180"/>
      <c r="AT251" s="180"/>
      <c r="AU251" s="180"/>
      <c r="AV251" s="183">
        <v>4.9400000000000004</v>
      </c>
      <c r="AW251" s="185">
        <f t="shared" si="18"/>
        <v>0.10526315789473684</v>
      </c>
      <c r="AX251" s="201">
        <f t="shared" si="16"/>
        <v>0.10526315789473684</v>
      </c>
      <c r="AY251" s="187">
        <v>2.4700000000000002</v>
      </c>
      <c r="AZ251" s="189">
        <f t="shared" si="19"/>
        <v>0.26568187252583758</v>
      </c>
      <c r="BA251" s="202">
        <f t="shared" si="17"/>
        <v>0.26568187252583758</v>
      </c>
      <c r="BB251" s="202">
        <f t="shared" si="20"/>
        <v>1.3</v>
      </c>
      <c r="BC251" s="181"/>
      <c r="BD251" s="6"/>
      <c r="BF251" s="6"/>
      <c r="BH251" s="6"/>
      <c r="BJ251" s="6"/>
      <c r="BL251" s="6"/>
      <c r="BM251" s="6"/>
      <c r="BN251" s="6"/>
      <c r="BS251" s="8"/>
      <c r="BU251" s="8"/>
      <c r="BV251" s="8"/>
      <c r="BW251" s="8"/>
      <c r="BX251" s="8"/>
      <c r="BY251" s="8"/>
      <c r="BZ251" s="8"/>
      <c r="CA251" s="8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</row>
    <row r="252" spans="2:183" s="76" customFormat="1" ht="12" customHeight="1">
      <c r="B252" s="8"/>
      <c r="C252" s="8"/>
      <c r="D252" s="75"/>
      <c r="E252" s="75"/>
      <c r="F252" s="75"/>
      <c r="G252" s="75"/>
      <c r="H252" s="75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6"/>
      <c r="AQ252" s="179"/>
      <c r="AR252" s="180"/>
      <c r="AS252" s="180"/>
      <c r="AT252" s="180"/>
      <c r="AU252" s="180"/>
      <c r="AV252" s="183">
        <v>4.96</v>
      </c>
      <c r="AW252" s="185">
        <f t="shared" si="18"/>
        <v>0.10483870967741936</v>
      </c>
      <c r="AX252" s="201">
        <f t="shared" si="16"/>
        <v>0.10483870967741936</v>
      </c>
      <c r="AY252" s="187">
        <v>2.48</v>
      </c>
      <c r="AZ252" s="189">
        <f t="shared" si="19"/>
        <v>0.26568187252583758</v>
      </c>
      <c r="BA252" s="202">
        <f t="shared" si="17"/>
        <v>0.26568187252583758</v>
      </c>
      <c r="BB252" s="202">
        <f t="shared" si="20"/>
        <v>1.3</v>
      </c>
      <c r="BC252" s="181"/>
      <c r="BD252" s="6"/>
      <c r="BF252" s="6"/>
      <c r="BH252" s="6"/>
      <c r="BJ252" s="6"/>
      <c r="BL252" s="6"/>
      <c r="BM252" s="6"/>
      <c r="BN252" s="6"/>
      <c r="BS252" s="8"/>
      <c r="BU252" s="8"/>
      <c r="BV252" s="8"/>
      <c r="BW252" s="8"/>
      <c r="BX252" s="8"/>
      <c r="BY252" s="8"/>
      <c r="BZ252" s="8"/>
      <c r="CA252" s="8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</row>
    <row r="253" spans="2:183" s="76" customFormat="1" ht="12" customHeight="1">
      <c r="B253" s="8"/>
      <c r="C253" s="8"/>
      <c r="D253" s="75"/>
      <c r="E253" s="75"/>
      <c r="F253" s="75"/>
      <c r="G253" s="75"/>
      <c r="H253" s="75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6"/>
      <c r="AQ253" s="179"/>
      <c r="AR253" s="180"/>
      <c r="AS253" s="180"/>
      <c r="AT253" s="180"/>
      <c r="AU253" s="180"/>
      <c r="AV253" s="183">
        <v>4.9800000000000004</v>
      </c>
      <c r="AW253" s="185">
        <f t="shared" si="18"/>
        <v>0.10441767068273092</v>
      </c>
      <c r="AX253" s="201">
        <f t="shared" si="16"/>
        <v>0.10441767068273092</v>
      </c>
      <c r="AY253" s="187">
        <v>2.4900000000000002</v>
      </c>
      <c r="AZ253" s="189">
        <f t="shared" si="19"/>
        <v>0.26568187252583758</v>
      </c>
      <c r="BA253" s="202">
        <f t="shared" si="17"/>
        <v>0.26568187252583758</v>
      </c>
      <c r="BB253" s="202">
        <f t="shared" si="20"/>
        <v>1.3</v>
      </c>
      <c r="BC253" s="181"/>
      <c r="BD253" s="6"/>
      <c r="BF253" s="6"/>
      <c r="BH253" s="6"/>
      <c r="BJ253" s="6"/>
      <c r="BL253" s="6"/>
      <c r="BM253" s="6"/>
      <c r="BN253" s="6"/>
      <c r="BS253" s="8"/>
      <c r="BU253" s="8"/>
      <c r="BV253" s="8"/>
      <c r="BW253" s="8"/>
      <c r="BX253" s="8"/>
      <c r="BY253" s="8"/>
      <c r="BZ253" s="8"/>
      <c r="CA253" s="8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</row>
    <row r="254" spans="2:183" s="76" customFormat="1" ht="12" customHeight="1">
      <c r="B254" s="8"/>
      <c r="C254" s="8"/>
      <c r="D254" s="75"/>
      <c r="E254" s="75"/>
      <c r="F254" s="75"/>
      <c r="G254" s="75"/>
      <c r="H254" s="75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6"/>
      <c r="AQ254" s="179"/>
      <c r="AR254" s="180"/>
      <c r="AS254" s="180"/>
      <c r="AT254" s="180"/>
      <c r="AU254" s="180"/>
      <c r="AV254" s="183">
        <v>5</v>
      </c>
      <c r="AW254" s="185">
        <f t="shared" si="18"/>
        <v>0.10400000000000001</v>
      </c>
      <c r="AX254" s="201">
        <f t="shared" si="16"/>
        <v>0.10400000000000001</v>
      </c>
      <c r="AY254" s="187">
        <v>2.5</v>
      </c>
      <c r="AZ254" s="189">
        <f t="shared" si="19"/>
        <v>0.26568187252583758</v>
      </c>
      <c r="BA254" s="202">
        <f t="shared" si="17"/>
        <v>0.26568187252583758</v>
      </c>
      <c r="BB254" s="202">
        <f t="shared" si="20"/>
        <v>1.3</v>
      </c>
      <c r="BC254" s="181"/>
      <c r="BD254" s="6"/>
      <c r="BF254" s="6"/>
      <c r="BH254" s="6"/>
      <c r="BJ254" s="6"/>
      <c r="BL254" s="6"/>
      <c r="BM254" s="6"/>
      <c r="BN254" s="6"/>
      <c r="BS254" s="8"/>
      <c r="BU254" s="8"/>
      <c r="BV254" s="8"/>
      <c r="BW254" s="8"/>
      <c r="BX254" s="8"/>
      <c r="BY254" s="8"/>
      <c r="BZ254" s="8"/>
      <c r="CA254" s="8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</row>
    <row r="255" spans="2:183" s="76" customFormat="1" ht="12" customHeight="1">
      <c r="B255" s="8"/>
      <c r="C255" s="8"/>
      <c r="D255" s="75"/>
      <c r="E255" s="75"/>
      <c r="F255" s="75"/>
      <c r="G255" s="75"/>
      <c r="H255" s="75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6"/>
      <c r="AQ255" s="179"/>
      <c r="AR255" s="180"/>
      <c r="AS255" s="180"/>
      <c r="AT255" s="180"/>
      <c r="AU255" s="180"/>
      <c r="AV255" s="183">
        <v>5.0199999999999996</v>
      </c>
      <c r="AW255" s="185">
        <f t="shared" si="18"/>
        <v>0.10358565737051795</v>
      </c>
      <c r="AX255" s="201">
        <f t="shared" si="16"/>
        <v>0.10358565737051795</v>
      </c>
      <c r="AY255" s="187">
        <v>2.5099999999999998</v>
      </c>
      <c r="AZ255" s="189">
        <f t="shared" si="19"/>
        <v>0.26568187252583758</v>
      </c>
      <c r="BA255" s="202">
        <f t="shared" si="17"/>
        <v>0.26568187252583758</v>
      </c>
      <c r="BB255" s="202">
        <f t="shared" si="20"/>
        <v>1.3</v>
      </c>
      <c r="BC255" s="181"/>
      <c r="BD255" s="6"/>
      <c r="BF255" s="6"/>
      <c r="BH255" s="6"/>
      <c r="BJ255" s="6"/>
      <c r="BL255" s="6"/>
      <c r="BM255" s="6"/>
      <c r="BN255" s="6"/>
      <c r="BS255" s="8"/>
      <c r="BU255" s="8"/>
      <c r="BV255" s="8"/>
      <c r="BW255" s="8"/>
      <c r="BX255" s="8"/>
      <c r="BY255" s="8"/>
      <c r="BZ255" s="8"/>
      <c r="CA255" s="8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</row>
    <row r="256" spans="2:183" s="76" customFormat="1" ht="12" customHeight="1">
      <c r="B256" s="8"/>
      <c r="C256" s="8"/>
      <c r="D256" s="75"/>
      <c r="E256" s="75"/>
      <c r="F256" s="75"/>
      <c r="G256" s="75"/>
      <c r="H256" s="75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6"/>
      <c r="AQ256" s="179"/>
      <c r="AR256" s="180"/>
      <c r="AS256" s="180"/>
      <c r="AT256" s="180"/>
      <c r="AU256" s="180"/>
      <c r="AV256" s="183">
        <v>5.04</v>
      </c>
      <c r="AW256" s="185">
        <f t="shared" si="18"/>
        <v>0.10317460317460318</v>
      </c>
      <c r="AX256" s="201">
        <f t="shared" si="16"/>
        <v>0.10317460317460318</v>
      </c>
      <c r="AY256" s="187">
        <v>2.52</v>
      </c>
      <c r="AZ256" s="189">
        <f t="shared" si="19"/>
        <v>0.26568187252583758</v>
      </c>
      <c r="BA256" s="202">
        <f t="shared" si="17"/>
        <v>0.26568187252583758</v>
      </c>
      <c r="BB256" s="202">
        <f t="shared" si="20"/>
        <v>1.3</v>
      </c>
      <c r="BC256" s="181"/>
      <c r="BD256" s="6"/>
      <c r="BF256" s="6"/>
      <c r="BH256" s="6"/>
      <c r="BJ256" s="6"/>
      <c r="BL256" s="6"/>
      <c r="BM256" s="6"/>
      <c r="BN256" s="6"/>
      <c r="BS256" s="8"/>
      <c r="BU256" s="8"/>
      <c r="BV256" s="8"/>
      <c r="BW256" s="8"/>
      <c r="BX256" s="8"/>
      <c r="BY256" s="8"/>
      <c r="BZ256" s="8"/>
      <c r="CA256" s="8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</row>
    <row r="257" spans="2:183" s="76" customFormat="1" ht="12" customHeight="1">
      <c r="B257" s="8"/>
      <c r="C257" s="8"/>
      <c r="D257" s="75"/>
      <c r="E257" s="75"/>
      <c r="F257" s="75"/>
      <c r="G257" s="75"/>
      <c r="H257" s="75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6"/>
      <c r="AQ257" s="179"/>
      <c r="AR257" s="180"/>
      <c r="AS257" s="180"/>
      <c r="AT257" s="180"/>
      <c r="AU257" s="180"/>
      <c r="AV257" s="183">
        <v>5.0599999999999996</v>
      </c>
      <c r="AW257" s="185">
        <f t="shared" si="18"/>
        <v>0.10276679841897235</v>
      </c>
      <c r="AX257" s="201">
        <f t="shared" si="16"/>
        <v>0.10276679841897235</v>
      </c>
      <c r="AY257" s="187">
        <v>2.5299999999999998</v>
      </c>
      <c r="AZ257" s="189">
        <f t="shared" si="19"/>
        <v>0.26568187252583758</v>
      </c>
      <c r="BA257" s="202">
        <f t="shared" si="17"/>
        <v>0.26568187252583758</v>
      </c>
      <c r="BB257" s="202">
        <f t="shared" si="20"/>
        <v>1.3</v>
      </c>
      <c r="BC257" s="181"/>
      <c r="BD257" s="6"/>
      <c r="BF257" s="6"/>
      <c r="BH257" s="6"/>
      <c r="BJ257" s="6"/>
      <c r="BL257" s="6"/>
      <c r="BM257" s="6"/>
      <c r="BN257" s="6"/>
      <c r="BS257" s="8"/>
      <c r="BU257" s="8"/>
      <c r="BV257" s="8"/>
      <c r="BW257" s="8"/>
      <c r="BX257" s="8"/>
      <c r="BY257" s="8"/>
      <c r="BZ257" s="8"/>
      <c r="CA257" s="8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</row>
    <row r="258" spans="2:183" s="76" customFormat="1" ht="12" customHeight="1">
      <c r="B258" s="8"/>
      <c r="C258" s="8"/>
      <c r="D258" s="75"/>
      <c r="E258" s="75"/>
      <c r="F258" s="75"/>
      <c r="G258" s="75"/>
      <c r="H258" s="75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6"/>
      <c r="AQ258" s="179"/>
      <c r="AR258" s="180"/>
      <c r="AS258" s="180"/>
      <c r="AT258" s="180"/>
      <c r="AU258" s="180"/>
      <c r="AV258" s="183">
        <v>5.08</v>
      </c>
      <c r="AW258" s="185">
        <f t="shared" si="18"/>
        <v>0.10236220472440945</v>
      </c>
      <c r="AX258" s="201">
        <f t="shared" si="16"/>
        <v>0.10236220472440945</v>
      </c>
      <c r="AY258" s="187">
        <v>2.54</v>
      </c>
      <c r="AZ258" s="189">
        <f t="shared" si="19"/>
        <v>0.26568187252583758</v>
      </c>
      <c r="BA258" s="202">
        <f t="shared" si="17"/>
        <v>0.26568187252583758</v>
      </c>
      <c r="BB258" s="202">
        <f t="shared" si="20"/>
        <v>1.3</v>
      </c>
      <c r="BC258" s="181"/>
      <c r="BD258" s="6"/>
      <c r="BF258" s="6"/>
      <c r="BH258" s="6"/>
      <c r="BJ258" s="6"/>
      <c r="BL258" s="6"/>
      <c r="BM258" s="6"/>
      <c r="BN258" s="6"/>
      <c r="BS258" s="8"/>
      <c r="BU258" s="8"/>
      <c r="BV258" s="8"/>
      <c r="BW258" s="8"/>
      <c r="BX258" s="8"/>
      <c r="BY258" s="8"/>
      <c r="BZ258" s="8"/>
      <c r="CA258" s="8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  <c r="FS258" s="6"/>
      <c r="FT258" s="6"/>
      <c r="FU258" s="6"/>
      <c r="FV258" s="6"/>
      <c r="FW258" s="6"/>
      <c r="FX258" s="6"/>
      <c r="FY258" s="6"/>
      <c r="FZ258" s="6"/>
      <c r="GA258" s="6"/>
    </row>
    <row r="259" spans="2:183" s="76" customFormat="1" ht="12" customHeight="1">
      <c r="B259" s="8"/>
      <c r="C259" s="8"/>
      <c r="D259" s="75"/>
      <c r="E259" s="75"/>
      <c r="F259" s="75"/>
      <c r="G259" s="75"/>
      <c r="H259" s="75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6"/>
      <c r="AQ259" s="179"/>
      <c r="AR259" s="180"/>
      <c r="AS259" s="180"/>
      <c r="AT259" s="180"/>
      <c r="AU259" s="180"/>
      <c r="AV259" s="183">
        <v>5.0999999999999996</v>
      </c>
      <c r="AW259" s="185">
        <f t="shared" si="18"/>
        <v>0.1019607843137255</v>
      </c>
      <c r="AX259" s="201">
        <f t="shared" si="16"/>
        <v>0.1019607843137255</v>
      </c>
      <c r="AY259" s="187">
        <v>2.5499999999999998</v>
      </c>
      <c r="AZ259" s="189">
        <f t="shared" si="19"/>
        <v>0.26568187252583758</v>
      </c>
      <c r="BA259" s="202">
        <f t="shared" si="17"/>
        <v>0.26568187252583758</v>
      </c>
      <c r="BB259" s="202">
        <f t="shared" si="20"/>
        <v>1.3</v>
      </c>
      <c r="BC259" s="181"/>
      <c r="BD259" s="6"/>
      <c r="BF259" s="6"/>
      <c r="BH259" s="6"/>
      <c r="BJ259" s="6"/>
      <c r="BL259" s="6"/>
      <c r="BM259" s="6"/>
      <c r="BN259" s="6"/>
      <c r="BS259" s="8"/>
      <c r="BU259" s="8"/>
      <c r="BV259" s="8"/>
      <c r="BW259" s="8"/>
      <c r="BX259" s="8"/>
      <c r="BY259" s="8"/>
      <c r="BZ259" s="8"/>
      <c r="CA259" s="8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</row>
    <row r="260" spans="2:183" s="76" customFormat="1" ht="12" customHeight="1">
      <c r="B260" s="8"/>
      <c r="C260" s="8"/>
      <c r="D260" s="75"/>
      <c r="E260" s="75"/>
      <c r="F260" s="75"/>
      <c r="G260" s="75"/>
      <c r="H260" s="75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6"/>
      <c r="AQ260" s="179"/>
      <c r="AR260" s="180"/>
      <c r="AS260" s="180"/>
      <c r="AT260" s="180"/>
      <c r="AU260" s="180"/>
      <c r="AV260" s="183">
        <v>5.12</v>
      </c>
      <c r="AW260" s="185">
        <f t="shared" si="18"/>
        <v>0.1015625</v>
      </c>
      <c r="AX260" s="201">
        <f t="shared" ref="AX260:AX323" si="21">IF(AND(OR(AV260&gt;0,AV260=0),OR(AV260&lt;AQ$96,AV260=AQ$96)),(AQ$92*(0.4+(0.6*AV260/AQ$96))),IF(AND(AV260&gt;AQ$96,OR(AV260&lt;AQ$98,AV260=AQ$98)),AQ$92,IF(AND(AV260&gt;AQ$98,AV260&lt;AQ$100),(AQ$94/AV260),IF(OR(AV260&gt;AQ$100,AV260=AQ$100),(AQ$94*AQ$100/(AV260*AV260)),"Error"))))</f>
        <v>0.1015625</v>
      </c>
      <c r="AY260" s="187">
        <v>2.56</v>
      </c>
      <c r="AZ260" s="189">
        <f t="shared" si="19"/>
        <v>0.26568187252583758</v>
      </c>
      <c r="BA260" s="202">
        <f t="shared" ref="BA260:BA323" si="22">IF(OR(AY260&lt;0.025,AY260=0.025),0.65*AI$179*(AJ$108/BB260),IF(AND(AY260&gt;0.025,OR(AY260&lt;0.05,AY260=0.05)),(16*AI$179*(AJ$108/BB260)*(AY260-0.025))+(0.65*AI$179*(AJ$108/BB260)),IF(AND(AY260&gt;0.05,OR(AY260&lt;0.1,AY260=0.1)),1.05*AI$179*AJ$108/BB260,IF(AND(AY260&gt;0.1,OR(AY260&lt;2,AY260=2)),MAX(0.5*AJ$108/BB260,(1.05*AI$179*AJ$108/BB260)*((0.1/AY260)^0.5)),IF(AY260&gt;2,0.5*AJ$108/BB260,"Error")))))</f>
        <v>0.26568187252583758</v>
      </c>
      <c r="BB260" s="202">
        <f t="shared" si="20"/>
        <v>1.3</v>
      </c>
      <c r="BC260" s="181"/>
      <c r="BD260" s="6"/>
      <c r="BF260" s="6"/>
      <c r="BH260" s="6"/>
      <c r="BJ260" s="6"/>
      <c r="BL260" s="6"/>
      <c r="BM260" s="6"/>
      <c r="BN260" s="6"/>
      <c r="BS260" s="8"/>
      <c r="BU260" s="8"/>
      <c r="BV260" s="8"/>
      <c r="BW260" s="8"/>
      <c r="BX260" s="8"/>
      <c r="BY260" s="8"/>
      <c r="BZ260" s="8"/>
      <c r="CA260" s="8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  <c r="FW260" s="6"/>
      <c r="FX260" s="6"/>
      <c r="FY260" s="6"/>
      <c r="FZ260" s="6"/>
      <c r="GA260" s="6"/>
    </row>
    <row r="261" spans="2:183" s="76" customFormat="1" ht="12" customHeight="1">
      <c r="B261" s="8"/>
      <c r="C261" s="8"/>
      <c r="D261" s="75"/>
      <c r="E261" s="75"/>
      <c r="F261" s="75"/>
      <c r="G261" s="75"/>
      <c r="H261" s="75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6"/>
      <c r="AQ261" s="179"/>
      <c r="AR261" s="180"/>
      <c r="AS261" s="180"/>
      <c r="AT261" s="180"/>
      <c r="AU261" s="180"/>
      <c r="AV261" s="183">
        <v>5.14</v>
      </c>
      <c r="AW261" s="185">
        <f t="shared" ref="AW261:AW324" si="23">AX261</f>
        <v>0.10116731517509729</v>
      </c>
      <c r="AX261" s="201">
        <f t="shared" si="21"/>
        <v>0.10116731517509729</v>
      </c>
      <c r="AY261" s="187">
        <v>2.57</v>
      </c>
      <c r="AZ261" s="189">
        <f t="shared" ref="AZ261:AZ324" si="24">BA261</f>
        <v>0.26568187252583758</v>
      </c>
      <c r="BA261" s="202">
        <f t="shared" si="22"/>
        <v>0.26568187252583758</v>
      </c>
      <c r="BB261" s="202">
        <f t="shared" si="20"/>
        <v>1.3</v>
      </c>
      <c r="BC261" s="181"/>
      <c r="BD261" s="6"/>
      <c r="BF261" s="6"/>
      <c r="BH261" s="6"/>
      <c r="BJ261" s="6"/>
      <c r="BL261" s="6"/>
      <c r="BM261" s="6"/>
      <c r="BN261" s="6"/>
      <c r="BS261" s="8"/>
      <c r="BU261" s="8"/>
      <c r="BV261" s="8"/>
      <c r="BW261" s="8"/>
      <c r="BX261" s="8"/>
      <c r="BY261" s="8"/>
      <c r="BZ261" s="8"/>
      <c r="CA261" s="8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</row>
    <row r="262" spans="2:183" s="76" customFormat="1" ht="12" customHeight="1">
      <c r="B262" s="8"/>
      <c r="C262" s="8"/>
      <c r="D262" s="75"/>
      <c r="E262" s="75"/>
      <c r="F262" s="75"/>
      <c r="G262" s="75"/>
      <c r="H262" s="75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6"/>
      <c r="AQ262" s="179"/>
      <c r="AR262" s="180"/>
      <c r="AS262" s="180"/>
      <c r="AT262" s="180"/>
      <c r="AU262" s="180"/>
      <c r="AV262" s="183">
        <v>5.16</v>
      </c>
      <c r="AW262" s="185">
        <f t="shared" si="23"/>
        <v>0.10077519379844961</v>
      </c>
      <c r="AX262" s="201">
        <f t="shared" si="21"/>
        <v>0.10077519379844961</v>
      </c>
      <c r="AY262" s="187">
        <v>2.58</v>
      </c>
      <c r="AZ262" s="189">
        <f t="shared" si="24"/>
        <v>0.26568187252583758</v>
      </c>
      <c r="BA262" s="202">
        <f t="shared" si="22"/>
        <v>0.26568187252583758</v>
      </c>
      <c r="BB262" s="202">
        <f t="shared" si="20"/>
        <v>1.3</v>
      </c>
      <c r="BC262" s="181"/>
      <c r="BD262" s="6"/>
      <c r="BF262" s="6"/>
      <c r="BH262" s="6"/>
      <c r="BJ262" s="6"/>
      <c r="BL262" s="6"/>
      <c r="BM262" s="6"/>
      <c r="BN262" s="6"/>
      <c r="BS262" s="8"/>
      <c r="BU262" s="8"/>
      <c r="BV262" s="8"/>
      <c r="BW262" s="8"/>
      <c r="BX262" s="8"/>
      <c r="BY262" s="8"/>
      <c r="BZ262" s="8"/>
      <c r="CA262" s="8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  <c r="FS262" s="6"/>
      <c r="FT262" s="6"/>
      <c r="FU262" s="6"/>
      <c r="FV262" s="6"/>
      <c r="FW262" s="6"/>
      <c r="FX262" s="6"/>
      <c r="FY262" s="6"/>
      <c r="FZ262" s="6"/>
      <c r="GA262" s="6"/>
    </row>
    <row r="263" spans="2:183" s="76" customFormat="1" ht="12" customHeight="1">
      <c r="B263" s="8"/>
      <c r="C263" s="8"/>
      <c r="D263" s="75"/>
      <c r="E263" s="75"/>
      <c r="F263" s="75"/>
      <c r="G263" s="75"/>
      <c r="H263" s="75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6"/>
      <c r="AQ263" s="179"/>
      <c r="AR263" s="180"/>
      <c r="AS263" s="180"/>
      <c r="AT263" s="180"/>
      <c r="AU263" s="180"/>
      <c r="AV263" s="183">
        <v>5.18</v>
      </c>
      <c r="AW263" s="185">
        <f t="shared" si="23"/>
        <v>0.10038610038610039</v>
      </c>
      <c r="AX263" s="201">
        <f t="shared" si="21"/>
        <v>0.10038610038610039</v>
      </c>
      <c r="AY263" s="187">
        <v>2.59</v>
      </c>
      <c r="AZ263" s="189">
        <f t="shared" si="24"/>
        <v>0.26568187252583758</v>
      </c>
      <c r="BA263" s="202">
        <f t="shared" si="22"/>
        <v>0.26568187252583758</v>
      </c>
      <c r="BB263" s="202">
        <f t="shared" si="20"/>
        <v>1.3</v>
      </c>
      <c r="BC263" s="181"/>
      <c r="BD263" s="6"/>
      <c r="BF263" s="6"/>
      <c r="BH263" s="6"/>
      <c r="BJ263" s="6"/>
      <c r="BL263" s="6"/>
      <c r="BM263" s="6"/>
      <c r="BN263" s="6"/>
      <c r="BS263" s="8"/>
      <c r="BU263" s="8"/>
      <c r="BV263" s="8"/>
      <c r="BW263" s="8"/>
      <c r="BX263" s="8"/>
      <c r="BY263" s="8"/>
      <c r="BZ263" s="8"/>
      <c r="CA263" s="8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/>
      <c r="FZ263" s="6"/>
      <c r="GA263" s="6"/>
    </row>
    <row r="264" spans="2:183" s="76" customFormat="1" ht="12" customHeight="1">
      <c r="B264" s="8"/>
      <c r="C264" s="8"/>
      <c r="D264" s="75"/>
      <c r="E264" s="75"/>
      <c r="F264" s="75"/>
      <c r="G264" s="75"/>
      <c r="H264" s="75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6"/>
      <c r="AQ264" s="179"/>
      <c r="AR264" s="180"/>
      <c r="AS264" s="180"/>
      <c r="AT264" s="180"/>
      <c r="AU264" s="180"/>
      <c r="AV264" s="183">
        <v>5.2</v>
      </c>
      <c r="AW264" s="185">
        <f t="shared" si="23"/>
        <v>0.1</v>
      </c>
      <c r="AX264" s="201">
        <f t="shared" si="21"/>
        <v>0.1</v>
      </c>
      <c r="AY264" s="187">
        <v>2.6</v>
      </c>
      <c r="AZ264" s="189">
        <f t="shared" si="24"/>
        <v>0.26568187252583758</v>
      </c>
      <c r="BA264" s="202">
        <f t="shared" si="22"/>
        <v>0.26568187252583758</v>
      </c>
      <c r="BB264" s="202">
        <f t="shared" ref="BB264:BB289" si="25">IF(OR(AY264&lt;0.2,AY264=0.2),1,IF(AND(AY264&gt;0.2,OR(AY264&lt;1,AY264=1)),(1+(0.375*(AY264-0.2))),IF(AND(AY264&gt;1,OR(AY264&lt;10,AY264=10)),1.3,"Error")))</f>
        <v>1.3</v>
      </c>
      <c r="BC264" s="181"/>
      <c r="BD264" s="6"/>
      <c r="BF264" s="6"/>
      <c r="BH264" s="6"/>
      <c r="BJ264" s="6"/>
      <c r="BL264" s="6"/>
      <c r="BM264" s="6"/>
      <c r="BN264" s="6"/>
      <c r="BS264" s="8"/>
      <c r="BU264" s="8"/>
      <c r="BV264" s="8"/>
      <c r="BW264" s="8"/>
      <c r="BX264" s="8"/>
      <c r="BY264" s="8"/>
      <c r="BZ264" s="8"/>
      <c r="CA264" s="8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/>
      <c r="FY264" s="6"/>
      <c r="FZ264" s="6"/>
      <c r="GA264" s="6"/>
    </row>
    <row r="265" spans="2:183" s="76" customFormat="1" ht="12" customHeight="1">
      <c r="B265" s="8"/>
      <c r="C265" s="8"/>
      <c r="D265" s="75"/>
      <c r="E265" s="75"/>
      <c r="F265" s="75"/>
      <c r="G265" s="75"/>
      <c r="H265" s="75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6"/>
      <c r="AQ265" s="179"/>
      <c r="AR265" s="180"/>
      <c r="AS265" s="180"/>
      <c r="AT265" s="180"/>
      <c r="AU265" s="180"/>
      <c r="AV265" s="183">
        <v>5.22</v>
      </c>
      <c r="AW265" s="185">
        <f t="shared" si="23"/>
        <v>9.9616858237547901E-2</v>
      </c>
      <c r="AX265" s="201">
        <f t="shared" si="21"/>
        <v>9.9616858237547901E-2</v>
      </c>
      <c r="AY265" s="187">
        <v>2.61</v>
      </c>
      <c r="AZ265" s="189">
        <f t="shared" si="24"/>
        <v>0.26568187252583758</v>
      </c>
      <c r="BA265" s="202">
        <f t="shared" si="22"/>
        <v>0.26568187252583758</v>
      </c>
      <c r="BB265" s="202">
        <f t="shared" si="25"/>
        <v>1.3</v>
      </c>
      <c r="BC265" s="181"/>
      <c r="BD265" s="6"/>
      <c r="BF265" s="6"/>
      <c r="BH265" s="6"/>
      <c r="BJ265" s="6"/>
      <c r="BL265" s="6"/>
      <c r="BM265" s="6"/>
      <c r="BN265" s="6"/>
      <c r="BS265" s="8"/>
      <c r="BU265" s="8"/>
      <c r="BV265" s="8"/>
      <c r="BW265" s="8"/>
      <c r="BX265" s="8"/>
      <c r="BY265" s="8"/>
      <c r="BZ265" s="8"/>
      <c r="CA265" s="8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</row>
    <row r="266" spans="2:183" s="76" customFormat="1" ht="12" customHeight="1">
      <c r="B266" s="8"/>
      <c r="C266" s="8"/>
      <c r="D266" s="75"/>
      <c r="E266" s="75"/>
      <c r="F266" s="75"/>
      <c r="G266" s="75"/>
      <c r="H266" s="75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6"/>
      <c r="AQ266" s="179"/>
      <c r="AR266" s="180"/>
      <c r="AS266" s="180"/>
      <c r="AT266" s="180"/>
      <c r="AU266" s="180"/>
      <c r="AV266" s="183">
        <v>5.24</v>
      </c>
      <c r="AW266" s="185">
        <f t="shared" si="23"/>
        <v>9.9236641221374045E-2</v>
      </c>
      <c r="AX266" s="201">
        <f t="shared" si="21"/>
        <v>9.9236641221374045E-2</v>
      </c>
      <c r="AY266" s="187">
        <v>2.62</v>
      </c>
      <c r="AZ266" s="189">
        <f t="shared" si="24"/>
        <v>0.26568187252583758</v>
      </c>
      <c r="BA266" s="202">
        <f t="shared" si="22"/>
        <v>0.26568187252583758</v>
      </c>
      <c r="BB266" s="202">
        <f t="shared" si="25"/>
        <v>1.3</v>
      </c>
      <c r="BC266" s="181"/>
      <c r="BD266" s="6"/>
      <c r="BF266" s="6"/>
      <c r="BH266" s="6"/>
      <c r="BJ266" s="6"/>
      <c r="BL266" s="6"/>
      <c r="BM266" s="6"/>
      <c r="BN266" s="6"/>
      <c r="BS266" s="8"/>
      <c r="BU266" s="8"/>
      <c r="BV266" s="8"/>
      <c r="BW266" s="8"/>
      <c r="BX266" s="8"/>
      <c r="BY266" s="8"/>
      <c r="BZ266" s="8"/>
      <c r="CA266" s="8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/>
      <c r="FZ266" s="6"/>
      <c r="GA266" s="6"/>
    </row>
    <row r="267" spans="2:183" s="76" customFormat="1" ht="12" customHeight="1">
      <c r="B267" s="8"/>
      <c r="C267" s="8"/>
      <c r="D267" s="75"/>
      <c r="E267" s="75"/>
      <c r="F267" s="75"/>
      <c r="G267" s="75"/>
      <c r="H267" s="75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6"/>
      <c r="AQ267" s="179"/>
      <c r="AR267" s="180"/>
      <c r="AS267" s="180"/>
      <c r="AT267" s="180"/>
      <c r="AU267" s="180"/>
      <c r="AV267" s="183">
        <v>5.26</v>
      </c>
      <c r="AW267" s="185">
        <f t="shared" si="23"/>
        <v>9.8859315589353625E-2</v>
      </c>
      <c r="AX267" s="201">
        <f t="shared" si="21"/>
        <v>9.8859315589353625E-2</v>
      </c>
      <c r="AY267" s="187">
        <v>2.63</v>
      </c>
      <c r="AZ267" s="189">
        <f t="shared" si="24"/>
        <v>0.26568187252583758</v>
      </c>
      <c r="BA267" s="202">
        <f t="shared" si="22"/>
        <v>0.26568187252583758</v>
      </c>
      <c r="BB267" s="202">
        <f t="shared" si="25"/>
        <v>1.3</v>
      </c>
      <c r="BC267" s="181"/>
      <c r="BD267" s="6"/>
      <c r="BF267" s="6"/>
      <c r="BH267" s="6"/>
      <c r="BJ267" s="6"/>
      <c r="BL267" s="6"/>
      <c r="BM267" s="6"/>
      <c r="BN267" s="6"/>
      <c r="BS267" s="8"/>
      <c r="BU267" s="8"/>
      <c r="BV267" s="8"/>
      <c r="BW267" s="8"/>
      <c r="BX267" s="8"/>
      <c r="BY267" s="8"/>
      <c r="BZ267" s="8"/>
      <c r="CA267" s="8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</row>
    <row r="268" spans="2:183" s="76" customFormat="1" ht="12" customHeight="1">
      <c r="B268" s="8"/>
      <c r="C268" s="8"/>
      <c r="D268" s="75"/>
      <c r="E268" s="75"/>
      <c r="F268" s="75"/>
      <c r="G268" s="75"/>
      <c r="H268" s="75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6"/>
      <c r="AQ268" s="179"/>
      <c r="AR268" s="180"/>
      <c r="AS268" s="180"/>
      <c r="AT268" s="180"/>
      <c r="AU268" s="180"/>
      <c r="AV268" s="183">
        <v>5.28</v>
      </c>
      <c r="AW268" s="185">
        <f t="shared" si="23"/>
        <v>9.8484848484848481E-2</v>
      </c>
      <c r="AX268" s="201">
        <f t="shared" si="21"/>
        <v>9.8484848484848481E-2</v>
      </c>
      <c r="AY268" s="187">
        <v>2.64</v>
      </c>
      <c r="AZ268" s="189">
        <f t="shared" si="24"/>
        <v>0.26568187252583758</v>
      </c>
      <c r="BA268" s="202">
        <f t="shared" si="22"/>
        <v>0.26568187252583758</v>
      </c>
      <c r="BB268" s="202">
        <f t="shared" si="25"/>
        <v>1.3</v>
      </c>
      <c r="BC268" s="181"/>
      <c r="BD268" s="6"/>
      <c r="BF268" s="6"/>
      <c r="BH268" s="6"/>
      <c r="BJ268" s="6"/>
      <c r="BL268" s="6"/>
      <c r="BM268" s="6"/>
      <c r="BN268" s="6"/>
      <c r="BS268" s="8"/>
      <c r="BU268" s="8"/>
      <c r="BV268" s="8"/>
      <c r="BW268" s="8"/>
      <c r="BX268" s="8"/>
      <c r="BY268" s="8"/>
      <c r="BZ268" s="8"/>
      <c r="CA268" s="8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</row>
    <row r="269" spans="2:183" s="76" customFormat="1" ht="12" customHeight="1">
      <c r="B269" s="8"/>
      <c r="C269" s="8"/>
      <c r="D269" s="75"/>
      <c r="E269" s="75"/>
      <c r="F269" s="75"/>
      <c r="G269" s="75"/>
      <c r="H269" s="75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6"/>
      <c r="AQ269" s="179"/>
      <c r="AR269" s="180"/>
      <c r="AS269" s="180"/>
      <c r="AT269" s="180"/>
      <c r="AU269" s="180"/>
      <c r="AV269" s="183">
        <v>5.3</v>
      </c>
      <c r="AW269" s="185">
        <f t="shared" si="23"/>
        <v>9.8113207547169817E-2</v>
      </c>
      <c r="AX269" s="201">
        <f t="shared" si="21"/>
        <v>9.8113207547169817E-2</v>
      </c>
      <c r="AY269" s="187">
        <v>2.65</v>
      </c>
      <c r="AZ269" s="189">
        <f t="shared" si="24"/>
        <v>0.26568187252583758</v>
      </c>
      <c r="BA269" s="202">
        <f t="shared" si="22"/>
        <v>0.26568187252583758</v>
      </c>
      <c r="BB269" s="202">
        <f t="shared" si="25"/>
        <v>1.3</v>
      </c>
      <c r="BC269" s="181"/>
      <c r="BD269" s="6"/>
      <c r="BF269" s="6"/>
      <c r="BH269" s="6"/>
      <c r="BJ269" s="6"/>
      <c r="BL269" s="6"/>
      <c r="BM269" s="6"/>
      <c r="BN269" s="6"/>
      <c r="BS269" s="8"/>
      <c r="BU269" s="8"/>
      <c r="BV269" s="8"/>
      <c r="BW269" s="8"/>
      <c r="BX269" s="8"/>
      <c r="BY269" s="8"/>
      <c r="BZ269" s="8"/>
      <c r="CA269" s="8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</row>
    <row r="270" spans="2:183" s="76" customFormat="1" ht="12" customHeight="1">
      <c r="B270" s="8"/>
      <c r="C270" s="8"/>
      <c r="D270" s="75"/>
      <c r="E270" s="75"/>
      <c r="F270" s="75"/>
      <c r="G270" s="75"/>
      <c r="H270" s="75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6"/>
      <c r="AQ270" s="179"/>
      <c r="AR270" s="180"/>
      <c r="AS270" s="180"/>
      <c r="AT270" s="180"/>
      <c r="AU270" s="180"/>
      <c r="AV270" s="183">
        <v>5.32</v>
      </c>
      <c r="AW270" s="185">
        <f t="shared" si="23"/>
        <v>9.7744360902255634E-2</v>
      </c>
      <c r="AX270" s="201">
        <f t="shared" si="21"/>
        <v>9.7744360902255634E-2</v>
      </c>
      <c r="AY270" s="187">
        <v>2.66</v>
      </c>
      <c r="AZ270" s="189">
        <f t="shared" si="24"/>
        <v>0.26568187252583758</v>
      </c>
      <c r="BA270" s="202">
        <f t="shared" si="22"/>
        <v>0.26568187252583758</v>
      </c>
      <c r="BB270" s="202">
        <f t="shared" si="25"/>
        <v>1.3</v>
      </c>
      <c r="BC270" s="181"/>
      <c r="BD270" s="6"/>
      <c r="BF270" s="6"/>
      <c r="BH270" s="6"/>
      <c r="BJ270" s="6"/>
      <c r="BL270" s="6"/>
      <c r="BM270" s="6"/>
      <c r="BN270" s="6"/>
      <c r="BS270" s="8"/>
      <c r="BU270" s="8"/>
      <c r="BV270" s="8"/>
      <c r="BW270" s="8"/>
      <c r="BX270" s="8"/>
      <c r="BY270" s="8"/>
      <c r="BZ270" s="8"/>
      <c r="CA270" s="8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</row>
    <row r="271" spans="2:183" s="76" customFormat="1" ht="12" customHeight="1">
      <c r="B271" s="8"/>
      <c r="C271" s="8"/>
      <c r="D271" s="75"/>
      <c r="E271" s="75"/>
      <c r="F271" s="75"/>
      <c r="G271" s="75"/>
      <c r="H271" s="75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6"/>
      <c r="AQ271" s="179"/>
      <c r="AR271" s="180"/>
      <c r="AS271" s="180"/>
      <c r="AT271" s="180"/>
      <c r="AU271" s="180"/>
      <c r="AV271" s="183">
        <v>5.34</v>
      </c>
      <c r="AW271" s="185">
        <f t="shared" si="23"/>
        <v>9.7378277153558054E-2</v>
      </c>
      <c r="AX271" s="201">
        <f t="shared" si="21"/>
        <v>9.7378277153558054E-2</v>
      </c>
      <c r="AY271" s="187">
        <v>2.67</v>
      </c>
      <c r="AZ271" s="189">
        <f t="shared" si="24"/>
        <v>0.26568187252583758</v>
      </c>
      <c r="BA271" s="202">
        <f t="shared" si="22"/>
        <v>0.26568187252583758</v>
      </c>
      <c r="BB271" s="202">
        <f t="shared" si="25"/>
        <v>1.3</v>
      </c>
      <c r="BC271" s="181"/>
      <c r="BD271" s="6"/>
      <c r="BF271" s="6"/>
      <c r="BH271" s="6"/>
      <c r="BJ271" s="6"/>
      <c r="BL271" s="6"/>
      <c r="BM271" s="6"/>
      <c r="BN271" s="6"/>
      <c r="BS271" s="8"/>
      <c r="BU271" s="8"/>
      <c r="BV271" s="8"/>
      <c r="BW271" s="8"/>
      <c r="BX271" s="8"/>
      <c r="BY271" s="8"/>
      <c r="BZ271" s="8"/>
      <c r="CA271" s="8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</row>
    <row r="272" spans="2:183" s="76" customFormat="1" ht="12" customHeight="1">
      <c r="B272" s="8"/>
      <c r="C272" s="8"/>
      <c r="D272" s="75"/>
      <c r="E272" s="75"/>
      <c r="F272" s="75"/>
      <c r="G272" s="75"/>
      <c r="H272" s="75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6"/>
      <c r="AQ272" s="179"/>
      <c r="AR272" s="180"/>
      <c r="AS272" s="180"/>
      <c r="AT272" s="180"/>
      <c r="AU272" s="180"/>
      <c r="AV272" s="183">
        <v>5.36</v>
      </c>
      <c r="AW272" s="185">
        <f t="shared" si="23"/>
        <v>9.7014925373134331E-2</v>
      </c>
      <c r="AX272" s="201">
        <f t="shared" si="21"/>
        <v>9.7014925373134331E-2</v>
      </c>
      <c r="AY272" s="187">
        <v>2.68</v>
      </c>
      <c r="AZ272" s="189">
        <f t="shared" si="24"/>
        <v>0.26568187252583758</v>
      </c>
      <c r="BA272" s="202">
        <f t="shared" si="22"/>
        <v>0.26568187252583758</v>
      </c>
      <c r="BB272" s="202">
        <f t="shared" si="25"/>
        <v>1.3</v>
      </c>
      <c r="BC272" s="181"/>
      <c r="BD272" s="6"/>
      <c r="BF272" s="6"/>
      <c r="BH272" s="6"/>
      <c r="BJ272" s="6"/>
      <c r="BL272" s="6"/>
      <c r="BM272" s="6"/>
      <c r="BN272" s="6"/>
      <c r="BS272" s="8"/>
      <c r="BU272" s="8"/>
      <c r="BV272" s="8"/>
      <c r="BW272" s="8"/>
      <c r="BX272" s="8"/>
      <c r="BY272" s="8"/>
      <c r="BZ272" s="8"/>
      <c r="CA272" s="8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</row>
    <row r="273" spans="2:183" s="76" customFormat="1" ht="12" customHeight="1">
      <c r="B273" s="8"/>
      <c r="C273" s="8"/>
      <c r="D273" s="75"/>
      <c r="E273" s="75"/>
      <c r="F273" s="75"/>
      <c r="G273" s="75"/>
      <c r="H273" s="75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6"/>
      <c r="AQ273" s="179"/>
      <c r="AR273" s="180"/>
      <c r="AS273" s="180"/>
      <c r="AT273" s="180"/>
      <c r="AU273" s="180"/>
      <c r="AV273" s="183">
        <v>5.38</v>
      </c>
      <c r="AW273" s="185">
        <f t="shared" si="23"/>
        <v>9.6654275092936809E-2</v>
      </c>
      <c r="AX273" s="201">
        <f t="shared" si="21"/>
        <v>9.6654275092936809E-2</v>
      </c>
      <c r="AY273" s="187">
        <v>2.69</v>
      </c>
      <c r="AZ273" s="189">
        <f t="shared" si="24"/>
        <v>0.26568187252583758</v>
      </c>
      <c r="BA273" s="202">
        <f t="shared" si="22"/>
        <v>0.26568187252583758</v>
      </c>
      <c r="BB273" s="202">
        <f t="shared" si="25"/>
        <v>1.3</v>
      </c>
      <c r="BC273" s="181"/>
      <c r="BD273" s="6"/>
      <c r="BF273" s="6"/>
      <c r="BH273" s="6"/>
      <c r="BJ273" s="6"/>
      <c r="BL273" s="6"/>
      <c r="BM273" s="6"/>
      <c r="BN273" s="6"/>
      <c r="BS273" s="8"/>
      <c r="BU273" s="8"/>
      <c r="BV273" s="8"/>
      <c r="BW273" s="8"/>
      <c r="BX273" s="8"/>
      <c r="BY273" s="8"/>
      <c r="BZ273" s="8"/>
      <c r="CA273" s="8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</row>
    <row r="274" spans="2:183" s="76" customFormat="1" ht="12" customHeight="1">
      <c r="B274" s="8"/>
      <c r="C274" s="8"/>
      <c r="D274" s="75"/>
      <c r="E274" s="75"/>
      <c r="F274" s="75"/>
      <c r="G274" s="75"/>
      <c r="H274" s="75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6"/>
      <c r="AQ274" s="179"/>
      <c r="AR274" s="180"/>
      <c r="AS274" s="180"/>
      <c r="AT274" s="180"/>
      <c r="AU274" s="180"/>
      <c r="AV274" s="183">
        <v>5.4</v>
      </c>
      <c r="AW274" s="185">
        <f t="shared" si="23"/>
        <v>9.6296296296296297E-2</v>
      </c>
      <c r="AX274" s="201">
        <f t="shared" si="21"/>
        <v>9.6296296296296297E-2</v>
      </c>
      <c r="AY274" s="187">
        <v>2.7</v>
      </c>
      <c r="AZ274" s="189">
        <f t="shared" si="24"/>
        <v>0.26568187252583758</v>
      </c>
      <c r="BA274" s="202">
        <f t="shared" si="22"/>
        <v>0.26568187252583758</v>
      </c>
      <c r="BB274" s="202">
        <f t="shared" si="25"/>
        <v>1.3</v>
      </c>
      <c r="BC274" s="181"/>
      <c r="BD274" s="6"/>
      <c r="BF274" s="6"/>
      <c r="BH274" s="6"/>
      <c r="BJ274" s="6"/>
      <c r="BL274" s="6"/>
      <c r="BM274" s="6"/>
      <c r="BN274" s="6"/>
      <c r="BS274" s="8"/>
      <c r="BU274" s="8"/>
      <c r="BV274" s="8"/>
      <c r="BW274" s="8"/>
      <c r="BX274" s="8"/>
      <c r="BY274" s="8"/>
      <c r="BZ274" s="8"/>
      <c r="CA274" s="8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  <c r="FW274" s="6"/>
      <c r="FX274" s="6"/>
      <c r="FY274" s="6"/>
      <c r="FZ274" s="6"/>
      <c r="GA274" s="6"/>
    </row>
    <row r="275" spans="2:183" s="76" customFormat="1" ht="12" customHeight="1">
      <c r="B275" s="8"/>
      <c r="C275" s="8"/>
      <c r="D275" s="75"/>
      <c r="E275" s="75"/>
      <c r="F275" s="75"/>
      <c r="G275" s="75"/>
      <c r="H275" s="75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6"/>
      <c r="AQ275" s="179"/>
      <c r="AR275" s="180"/>
      <c r="AS275" s="180"/>
      <c r="AT275" s="180"/>
      <c r="AU275" s="180"/>
      <c r="AV275" s="183">
        <v>5.42</v>
      </c>
      <c r="AW275" s="185">
        <f t="shared" si="23"/>
        <v>9.5940959409594101E-2</v>
      </c>
      <c r="AX275" s="201">
        <f t="shared" si="21"/>
        <v>9.5940959409594101E-2</v>
      </c>
      <c r="AY275" s="187">
        <v>2.71</v>
      </c>
      <c r="AZ275" s="189">
        <f t="shared" si="24"/>
        <v>0.26568187252583758</v>
      </c>
      <c r="BA275" s="202">
        <f t="shared" si="22"/>
        <v>0.26568187252583758</v>
      </c>
      <c r="BB275" s="202">
        <f t="shared" si="25"/>
        <v>1.3</v>
      </c>
      <c r="BC275" s="181"/>
      <c r="BD275" s="6"/>
      <c r="BF275" s="6"/>
      <c r="BH275" s="6"/>
      <c r="BJ275" s="6"/>
      <c r="BL275" s="6"/>
      <c r="BM275" s="6"/>
      <c r="BN275" s="6"/>
      <c r="BS275" s="8"/>
      <c r="BU275" s="8"/>
      <c r="BV275" s="8"/>
      <c r="BW275" s="8"/>
      <c r="BX275" s="8"/>
      <c r="BY275" s="8"/>
      <c r="BZ275" s="8"/>
      <c r="CA275" s="8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</row>
    <row r="276" spans="2:183" s="76" customFormat="1" ht="12" customHeight="1">
      <c r="B276" s="8"/>
      <c r="C276" s="8"/>
      <c r="D276" s="75"/>
      <c r="E276" s="75"/>
      <c r="F276" s="75"/>
      <c r="G276" s="75"/>
      <c r="H276" s="75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6"/>
      <c r="AQ276" s="179"/>
      <c r="AR276" s="180"/>
      <c r="AS276" s="180"/>
      <c r="AT276" s="180"/>
      <c r="AU276" s="180"/>
      <c r="AV276" s="183">
        <v>5.44</v>
      </c>
      <c r="AW276" s="185">
        <f t="shared" si="23"/>
        <v>9.5588235294117641E-2</v>
      </c>
      <c r="AX276" s="201">
        <f t="shared" si="21"/>
        <v>9.5588235294117641E-2</v>
      </c>
      <c r="AY276" s="187">
        <v>2.72</v>
      </c>
      <c r="AZ276" s="189">
        <f t="shared" si="24"/>
        <v>0.26568187252583758</v>
      </c>
      <c r="BA276" s="202">
        <f t="shared" si="22"/>
        <v>0.26568187252583758</v>
      </c>
      <c r="BB276" s="202">
        <f t="shared" si="25"/>
        <v>1.3</v>
      </c>
      <c r="BC276" s="181"/>
      <c r="BD276" s="6"/>
      <c r="BF276" s="6"/>
      <c r="BH276" s="6"/>
      <c r="BJ276" s="6"/>
      <c r="BL276" s="6"/>
      <c r="BM276" s="6"/>
      <c r="BN276" s="6"/>
      <c r="BS276" s="8"/>
      <c r="BU276" s="8"/>
      <c r="BV276" s="8"/>
      <c r="BW276" s="8"/>
      <c r="BX276" s="8"/>
      <c r="BY276" s="8"/>
      <c r="BZ276" s="8"/>
      <c r="CA276" s="8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</row>
    <row r="277" spans="2:183" s="76" customFormat="1" ht="12" customHeight="1">
      <c r="B277" s="8"/>
      <c r="C277" s="8"/>
      <c r="D277" s="75"/>
      <c r="E277" s="75"/>
      <c r="F277" s="75"/>
      <c r="G277" s="75"/>
      <c r="H277" s="75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6"/>
      <c r="AQ277" s="179"/>
      <c r="AR277" s="180"/>
      <c r="AS277" s="180"/>
      <c r="AT277" s="180"/>
      <c r="AU277" s="180"/>
      <c r="AV277" s="183">
        <v>5.4600000000000097</v>
      </c>
      <c r="AW277" s="185">
        <f t="shared" si="23"/>
        <v>9.5238095238095066E-2</v>
      </c>
      <c r="AX277" s="201">
        <f t="shared" si="21"/>
        <v>9.5238095238095066E-2</v>
      </c>
      <c r="AY277" s="187">
        <v>2.73</v>
      </c>
      <c r="AZ277" s="189">
        <f t="shared" si="24"/>
        <v>0.26568187252583758</v>
      </c>
      <c r="BA277" s="202">
        <f t="shared" si="22"/>
        <v>0.26568187252583758</v>
      </c>
      <c r="BB277" s="202">
        <f t="shared" si="25"/>
        <v>1.3</v>
      </c>
      <c r="BC277" s="181"/>
      <c r="BD277" s="6"/>
      <c r="BF277" s="6"/>
      <c r="BH277" s="6"/>
      <c r="BJ277" s="6"/>
      <c r="BL277" s="6"/>
      <c r="BM277" s="6"/>
      <c r="BN277" s="6"/>
      <c r="BS277" s="8"/>
      <c r="BU277" s="8"/>
      <c r="BV277" s="8"/>
      <c r="BW277" s="8"/>
      <c r="BX277" s="8"/>
      <c r="BY277" s="8"/>
      <c r="BZ277" s="8"/>
      <c r="CA277" s="8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/>
    </row>
    <row r="278" spans="2:183" s="76" customFormat="1" ht="12" customHeight="1">
      <c r="B278" s="8"/>
      <c r="C278" s="8"/>
      <c r="D278" s="75"/>
      <c r="E278" s="75"/>
      <c r="F278" s="75"/>
      <c r="G278" s="75"/>
      <c r="H278" s="75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6"/>
      <c r="AQ278" s="179"/>
      <c r="AR278" s="180"/>
      <c r="AS278" s="180"/>
      <c r="AT278" s="180"/>
      <c r="AU278" s="180"/>
      <c r="AV278" s="183">
        <v>5.4800000000000102</v>
      </c>
      <c r="AW278" s="185">
        <f t="shared" si="23"/>
        <v>9.4890510948904938E-2</v>
      </c>
      <c r="AX278" s="201">
        <f t="shared" si="21"/>
        <v>9.4890510948904938E-2</v>
      </c>
      <c r="AY278" s="187">
        <v>2.74</v>
      </c>
      <c r="AZ278" s="189">
        <f t="shared" si="24"/>
        <v>0.26568187252583758</v>
      </c>
      <c r="BA278" s="202">
        <f t="shared" si="22"/>
        <v>0.26568187252583758</v>
      </c>
      <c r="BB278" s="202">
        <f t="shared" si="25"/>
        <v>1.3</v>
      </c>
      <c r="BC278" s="181"/>
      <c r="BD278" s="6"/>
      <c r="BF278" s="6"/>
      <c r="BH278" s="6"/>
      <c r="BJ278" s="6"/>
      <c r="BL278" s="6"/>
      <c r="BM278" s="6"/>
      <c r="BN278" s="6"/>
      <c r="BS278" s="8"/>
      <c r="BU278" s="8"/>
      <c r="BV278" s="8"/>
      <c r="BW278" s="8"/>
      <c r="BX278" s="8"/>
      <c r="BY278" s="8"/>
      <c r="BZ278" s="8"/>
      <c r="CA278" s="8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  <c r="FW278" s="6"/>
      <c r="FX278" s="6"/>
      <c r="FY278" s="6"/>
      <c r="FZ278" s="6"/>
      <c r="GA278" s="6"/>
    </row>
    <row r="279" spans="2:183" s="76" customFormat="1" ht="12" customHeight="1">
      <c r="B279" s="8"/>
      <c r="C279" s="8"/>
      <c r="D279" s="75"/>
      <c r="E279" s="75"/>
      <c r="F279" s="75"/>
      <c r="G279" s="75"/>
      <c r="H279" s="75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6"/>
      <c r="AQ279" s="179"/>
      <c r="AR279" s="180"/>
      <c r="AS279" s="180"/>
      <c r="AT279" s="180"/>
      <c r="AU279" s="180"/>
      <c r="AV279" s="183">
        <v>5.5000000000000098</v>
      </c>
      <c r="AW279" s="185">
        <f t="shared" si="23"/>
        <v>9.4545454545454377E-2</v>
      </c>
      <c r="AX279" s="201">
        <f t="shared" si="21"/>
        <v>9.4545454545454377E-2</v>
      </c>
      <c r="AY279" s="187">
        <v>2.75</v>
      </c>
      <c r="AZ279" s="189">
        <f t="shared" si="24"/>
        <v>0.26568187252583758</v>
      </c>
      <c r="BA279" s="202">
        <f t="shared" si="22"/>
        <v>0.26568187252583758</v>
      </c>
      <c r="BB279" s="202">
        <f t="shared" si="25"/>
        <v>1.3</v>
      </c>
      <c r="BC279" s="181"/>
      <c r="BD279" s="6"/>
      <c r="BF279" s="6"/>
      <c r="BH279" s="6"/>
      <c r="BJ279" s="6"/>
      <c r="BL279" s="6"/>
      <c r="BM279" s="6"/>
      <c r="BN279" s="6"/>
      <c r="BS279" s="8"/>
      <c r="BU279" s="8"/>
      <c r="BV279" s="8"/>
      <c r="BW279" s="8"/>
      <c r="BX279" s="8"/>
      <c r="BY279" s="8"/>
      <c r="BZ279" s="8"/>
      <c r="CA279" s="8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  <c r="FW279" s="6"/>
      <c r="FX279" s="6"/>
      <c r="FY279" s="6"/>
      <c r="FZ279" s="6"/>
      <c r="GA279" s="6"/>
    </row>
    <row r="280" spans="2:183" s="76" customFormat="1" ht="12" customHeight="1">
      <c r="B280" s="8"/>
      <c r="C280" s="8"/>
      <c r="D280" s="75"/>
      <c r="E280" s="75"/>
      <c r="F280" s="75"/>
      <c r="G280" s="75"/>
      <c r="H280" s="75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6"/>
      <c r="AQ280" s="179"/>
      <c r="AR280" s="180"/>
      <c r="AS280" s="180"/>
      <c r="AT280" s="180"/>
      <c r="AU280" s="180"/>
      <c r="AV280" s="183">
        <v>5.5200000000000102</v>
      </c>
      <c r="AW280" s="185">
        <f t="shared" si="23"/>
        <v>9.4202898550724473E-2</v>
      </c>
      <c r="AX280" s="201">
        <f t="shared" si="21"/>
        <v>9.4202898550724473E-2</v>
      </c>
      <c r="AY280" s="187">
        <v>2.76</v>
      </c>
      <c r="AZ280" s="189">
        <f t="shared" si="24"/>
        <v>0.26568187252583758</v>
      </c>
      <c r="BA280" s="202">
        <f t="shared" si="22"/>
        <v>0.26568187252583758</v>
      </c>
      <c r="BB280" s="202">
        <f t="shared" si="25"/>
        <v>1.3</v>
      </c>
      <c r="BC280" s="181"/>
      <c r="BD280" s="6"/>
      <c r="BF280" s="6"/>
      <c r="BH280" s="6"/>
      <c r="BJ280" s="6"/>
      <c r="BL280" s="6"/>
      <c r="BM280" s="6"/>
      <c r="BN280" s="6"/>
      <c r="BS280" s="8"/>
      <c r="BU280" s="8"/>
      <c r="BV280" s="8"/>
      <c r="BW280" s="8"/>
      <c r="BX280" s="8"/>
      <c r="BY280" s="8"/>
      <c r="BZ280" s="8"/>
      <c r="CA280" s="8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</row>
    <row r="281" spans="2:183" s="76" customFormat="1" ht="12" customHeight="1">
      <c r="B281" s="8"/>
      <c r="C281" s="8"/>
      <c r="D281" s="75"/>
      <c r="E281" s="75"/>
      <c r="F281" s="75"/>
      <c r="G281" s="75"/>
      <c r="H281" s="75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6"/>
      <c r="AQ281" s="179"/>
      <c r="AR281" s="180"/>
      <c r="AS281" s="180"/>
      <c r="AT281" s="180"/>
      <c r="AU281" s="180"/>
      <c r="AV281" s="183">
        <v>5.5400000000000098</v>
      </c>
      <c r="AW281" s="185">
        <f t="shared" si="23"/>
        <v>9.3862815884476369E-2</v>
      </c>
      <c r="AX281" s="201">
        <f t="shared" si="21"/>
        <v>9.3862815884476369E-2</v>
      </c>
      <c r="AY281" s="187">
        <v>2.77</v>
      </c>
      <c r="AZ281" s="189">
        <f t="shared" si="24"/>
        <v>0.26568187252583758</v>
      </c>
      <c r="BA281" s="202">
        <f t="shared" si="22"/>
        <v>0.26568187252583758</v>
      </c>
      <c r="BB281" s="202">
        <f t="shared" si="25"/>
        <v>1.3</v>
      </c>
      <c r="BC281" s="181"/>
      <c r="BD281" s="6"/>
      <c r="BF281" s="6"/>
      <c r="BH281" s="6"/>
      <c r="BJ281" s="6"/>
      <c r="BL281" s="6"/>
      <c r="BM281" s="6"/>
      <c r="BN281" s="6"/>
      <c r="BS281" s="8"/>
      <c r="BU281" s="8"/>
      <c r="BV281" s="8"/>
      <c r="BW281" s="8"/>
      <c r="BX281" s="8"/>
      <c r="BY281" s="8"/>
      <c r="BZ281" s="8"/>
      <c r="CA281" s="8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</row>
    <row r="282" spans="2:183" s="76" customFormat="1" ht="12" customHeight="1">
      <c r="B282" s="8"/>
      <c r="C282" s="8"/>
      <c r="D282" s="75"/>
      <c r="E282" s="75"/>
      <c r="F282" s="75"/>
      <c r="G282" s="75"/>
      <c r="H282" s="75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6"/>
      <c r="AQ282" s="179"/>
      <c r="AR282" s="180"/>
      <c r="AS282" s="180"/>
      <c r="AT282" s="180"/>
      <c r="AU282" s="180"/>
      <c r="AV282" s="183">
        <v>5.5600000000000103</v>
      </c>
      <c r="AW282" s="185">
        <f t="shared" si="23"/>
        <v>9.3525179856114943E-2</v>
      </c>
      <c r="AX282" s="201">
        <f t="shared" si="21"/>
        <v>9.3525179856114943E-2</v>
      </c>
      <c r="AY282" s="187">
        <v>2.78</v>
      </c>
      <c r="AZ282" s="189">
        <f t="shared" si="24"/>
        <v>0.26568187252583758</v>
      </c>
      <c r="BA282" s="202">
        <f t="shared" si="22"/>
        <v>0.26568187252583758</v>
      </c>
      <c r="BB282" s="202">
        <f t="shared" si="25"/>
        <v>1.3</v>
      </c>
      <c r="BC282" s="181"/>
      <c r="BD282" s="6"/>
      <c r="BF282" s="6"/>
      <c r="BH282" s="6"/>
      <c r="BJ282" s="6"/>
      <c r="BL282" s="6"/>
      <c r="BM282" s="6"/>
      <c r="BN282" s="6"/>
      <c r="BS282" s="8"/>
      <c r="BU282" s="8"/>
      <c r="BV282" s="8"/>
      <c r="BW282" s="8"/>
      <c r="BX282" s="8"/>
      <c r="BY282" s="8"/>
      <c r="BZ282" s="8"/>
      <c r="CA282" s="8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</row>
    <row r="283" spans="2:183" s="76" customFormat="1" ht="12" customHeight="1">
      <c r="B283" s="8"/>
      <c r="C283" s="8"/>
      <c r="D283" s="75"/>
      <c r="E283" s="75"/>
      <c r="F283" s="75"/>
      <c r="G283" s="75"/>
      <c r="H283" s="75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6"/>
      <c r="AQ283" s="179"/>
      <c r="AR283" s="180"/>
      <c r="AS283" s="180"/>
      <c r="AT283" s="180"/>
      <c r="AU283" s="180"/>
      <c r="AV283" s="183">
        <v>5.5800000000000098</v>
      </c>
      <c r="AW283" s="185">
        <f t="shared" si="23"/>
        <v>9.3189964157705932E-2</v>
      </c>
      <c r="AX283" s="201">
        <f t="shared" si="21"/>
        <v>9.3189964157705932E-2</v>
      </c>
      <c r="AY283" s="187">
        <v>2.79</v>
      </c>
      <c r="AZ283" s="189">
        <f t="shared" si="24"/>
        <v>0.26568187252583758</v>
      </c>
      <c r="BA283" s="202">
        <f t="shared" si="22"/>
        <v>0.26568187252583758</v>
      </c>
      <c r="BB283" s="202">
        <f t="shared" si="25"/>
        <v>1.3</v>
      </c>
      <c r="BC283" s="181"/>
      <c r="BD283" s="6"/>
      <c r="BF283" s="6"/>
      <c r="BH283" s="6"/>
      <c r="BJ283" s="6"/>
      <c r="BL283" s="6"/>
      <c r="BM283" s="6"/>
      <c r="BN283" s="6"/>
      <c r="BS283" s="8"/>
      <c r="BU283" s="8"/>
      <c r="BV283" s="8"/>
      <c r="BW283" s="8"/>
      <c r="BX283" s="8"/>
      <c r="BY283" s="8"/>
      <c r="BZ283" s="8"/>
      <c r="CA283" s="8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</row>
    <row r="284" spans="2:183" s="76" customFormat="1" ht="12" customHeight="1">
      <c r="B284" s="8"/>
      <c r="C284" s="8"/>
      <c r="D284" s="75"/>
      <c r="E284" s="75"/>
      <c r="F284" s="75"/>
      <c r="G284" s="75"/>
      <c r="H284" s="75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6"/>
      <c r="AQ284" s="179"/>
      <c r="AR284" s="180"/>
      <c r="AS284" s="180"/>
      <c r="AT284" s="180"/>
      <c r="AU284" s="180"/>
      <c r="AV284" s="183">
        <v>5.6000000000000103</v>
      </c>
      <c r="AW284" s="185">
        <f t="shared" si="23"/>
        <v>9.2857142857142694E-2</v>
      </c>
      <c r="AX284" s="201">
        <f t="shared" si="21"/>
        <v>9.2857142857142694E-2</v>
      </c>
      <c r="AY284" s="187">
        <v>2.8</v>
      </c>
      <c r="AZ284" s="189">
        <f t="shared" si="24"/>
        <v>0.26568187252583758</v>
      </c>
      <c r="BA284" s="202">
        <f t="shared" si="22"/>
        <v>0.26568187252583758</v>
      </c>
      <c r="BB284" s="202">
        <f t="shared" si="25"/>
        <v>1.3</v>
      </c>
      <c r="BC284" s="181"/>
      <c r="BD284" s="6"/>
      <c r="BF284" s="6"/>
      <c r="BH284" s="6"/>
      <c r="BJ284" s="6"/>
      <c r="BL284" s="6"/>
      <c r="BM284" s="6"/>
      <c r="BN284" s="6"/>
      <c r="BS284" s="8"/>
      <c r="BU284" s="8"/>
      <c r="BV284" s="8"/>
      <c r="BW284" s="8"/>
      <c r="BX284" s="8"/>
      <c r="BY284" s="8"/>
      <c r="BZ284" s="8"/>
      <c r="CA284" s="8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/>
      <c r="FV284" s="6"/>
      <c r="FW284" s="6"/>
      <c r="FX284" s="6"/>
      <c r="FY284" s="6"/>
      <c r="FZ284" s="6"/>
      <c r="GA284" s="6"/>
    </row>
    <row r="285" spans="2:183" s="76" customFormat="1" ht="12" customHeight="1">
      <c r="B285" s="8"/>
      <c r="C285" s="8"/>
      <c r="D285" s="75"/>
      <c r="E285" s="75"/>
      <c r="F285" s="75"/>
      <c r="G285" s="75"/>
      <c r="H285" s="75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6"/>
      <c r="AQ285" s="179"/>
      <c r="AR285" s="180"/>
      <c r="AS285" s="180"/>
      <c r="AT285" s="180"/>
      <c r="AU285" s="180"/>
      <c r="AV285" s="183">
        <v>5.6200000000000099</v>
      </c>
      <c r="AW285" s="185">
        <f t="shared" si="23"/>
        <v>9.2526690391458916E-2</v>
      </c>
      <c r="AX285" s="201">
        <f t="shared" si="21"/>
        <v>9.2526690391458916E-2</v>
      </c>
      <c r="AY285" s="187">
        <v>2.81</v>
      </c>
      <c r="AZ285" s="189">
        <f t="shared" si="24"/>
        <v>0.26568187252583758</v>
      </c>
      <c r="BA285" s="202">
        <f t="shared" si="22"/>
        <v>0.26568187252583758</v>
      </c>
      <c r="BB285" s="202">
        <f t="shared" si="25"/>
        <v>1.3</v>
      </c>
      <c r="BC285" s="181"/>
      <c r="BD285" s="6"/>
      <c r="BF285" s="6"/>
      <c r="BH285" s="6"/>
      <c r="BJ285" s="6"/>
      <c r="BL285" s="6"/>
      <c r="BM285" s="6"/>
      <c r="BN285" s="6"/>
      <c r="BS285" s="8"/>
      <c r="BU285" s="8"/>
      <c r="BV285" s="8"/>
      <c r="BW285" s="8"/>
      <c r="BX285" s="8"/>
      <c r="BY285" s="8"/>
      <c r="BZ285" s="8"/>
      <c r="CA285" s="8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</row>
    <row r="286" spans="2:183" s="76" customFormat="1" ht="12" customHeight="1">
      <c r="B286" s="8"/>
      <c r="C286" s="8"/>
      <c r="D286" s="75"/>
      <c r="E286" s="75"/>
      <c r="F286" s="75"/>
      <c r="G286" s="75"/>
      <c r="H286" s="75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6"/>
      <c r="AQ286" s="179"/>
      <c r="AR286" s="180"/>
      <c r="AS286" s="180"/>
      <c r="AT286" s="180"/>
      <c r="AU286" s="180"/>
      <c r="AV286" s="183">
        <v>5.6400000000000103</v>
      </c>
      <c r="AW286" s="185">
        <f t="shared" si="23"/>
        <v>9.2198581560283516E-2</v>
      </c>
      <c r="AX286" s="201">
        <f t="shared" si="21"/>
        <v>9.2198581560283516E-2</v>
      </c>
      <c r="AY286" s="187">
        <v>2.82</v>
      </c>
      <c r="AZ286" s="189">
        <f t="shared" si="24"/>
        <v>0.26568187252583758</v>
      </c>
      <c r="BA286" s="202">
        <f t="shared" si="22"/>
        <v>0.26568187252583758</v>
      </c>
      <c r="BB286" s="202">
        <f t="shared" si="25"/>
        <v>1.3</v>
      </c>
      <c r="BC286" s="181"/>
      <c r="BD286" s="6"/>
      <c r="BF286" s="6"/>
      <c r="BH286" s="6"/>
      <c r="BJ286" s="6"/>
      <c r="BL286" s="6"/>
      <c r="BM286" s="6"/>
      <c r="BN286" s="6"/>
      <c r="BS286" s="8"/>
      <c r="BU286" s="8"/>
      <c r="BV286" s="8"/>
      <c r="BW286" s="8"/>
      <c r="BX286" s="8"/>
      <c r="BY286" s="8"/>
      <c r="BZ286" s="8"/>
      <c r="CA286" s="8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  <c r="FW286" s="6"/>
      <c r="FX286" s="6"/>
      <c r="FY286" s="6"/>
      <c r="FZ286" s="6"/>
      <c r="GA286" s="6"/>
    </row>
    <row r="287" spans="2:183" s="76" customFormat="1" ht="12" customHeight="1">
      <c r="B287" s="8"/>
      <c r="C287" s="8"/>
      <c r="D287" s="75"/>
      <c r="E287" s="75"/>
      <c r="F287" s="75"/>
      <c r="G287" s="75"/>
      <c r="H287" s="75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6"/>
      <c r="AQ287" s="179"/>
      <c r="AR287" s="180"/>
      <c r="AS287" s="180"/>
      <c r="AT287" s="180"/>
      <c r="AU287" s="180"/>
      <c r="AV287" s="183">
        <v>5.6600000000000099</v>
      </c>
      <c r="AW287" s="185">
        <f t="shared" si="23"/>
        <v>9.1872791519434477E-2</v>
      </c>
      <c r="AX287" s="201">
        <f t="shared" si="21"/>
        <v>9.1872791519434477E-2</v>
      </c>
      <c r="AY287" s="187">
        <v>2.83</v>
      </c>
      <c r="AZ287" s="189">
        <f t="shared" si="24"/>
        <v>0.26568187252583758</v>
      </c>
      <c r="BA287" s="202">
        <f t="shared" si="22"/>
        <v>0.26568187252583758</v>
      </c>
      <c r="BB287" s="202">
        <f t="shared" si="25"/>
        <v>1.3</v>
      </c>
      <c r="BC287" s="181"/>
      <c r="BD287" s="6"/>
      <c r="BF287" s="6"/>
      <c r="BH287" s="6"/>
      <c r="BJ287" s="6"/>
      <c r="BL287" s="6"/>
      <c r="BM287" s="6"/>
      <c r="BN287" s="6"/>
      <c r="BS287" s="8"/>
      <c r="BU287" s="8"/>
      <c r="BV287" s="8"/>
      <c r="BW287" s="8"/>
      <c r="BX287" s="8"/>
      <c r="BY287" s="8"/>
      <c r="BZ287" s="8"/>
      <c r="CA287" s="8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</row>
    <row r="288" spans="2:183" s="76" customFormat="1" ht="12" customHeight="1">
      <c r="B288" s="8"/>
      <c r="C288" s="8"/>
      <c r="D288" s="75"/>
      <c r="E288" s="75"/>
      <c r="F288" s="75"/>
      <c r="G288" s="75"/>
      <c r="H288" s="75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6"/>
      <c r="AQ288" s="179"/>
      <c r="AR288" s="180"/>
      <c r="AS288" s="180"/>
      <c r="AT288" s="180"/>
      <c r="AU288" s="180"/>
      <c r="AV288" s="183">
        <v>5.6800000000000104</v>
      </c>
      <c r="AW288" s="185">
        <f t="shared" si="23"/>
        <v>9.1549295774647724E-2</v>
      </c>
      <c r="AX288" s="201">
        <f t="shared" si="21"/>
        <v>9.1549295774647724E-2</v>
      </c>
      <c r="AY288" s="187">
        <v>2.84</v>
      </c>
      <c r="AZ288" s="189">
        <f t="shared" si="24"/>
        <v>0.26568187252583758</v>
      </c>
      <c r="BA288" s="202">
        <f t="shared" si="22"/>
        <v>0.26568187252583758</v>
      </c>
      <c r="BB288" s="202">
        <f t="shared" si="25"/>
        <v>1.3</v>
      </c>
      <c r="BC288" s="181"/>
      <c r="BD288" s="6"/>
      <c r="BF288" s="6"/>
      <c r="BH288" s="6"/>
      <c r="BJ288" s="6"/>
      <c r="BL288" s="6"/>
      <c r="BM288" s="6"/>
      <c r="BN288" s="6"/>
      <c r="BS288" s="8"/>
      <c r="BU288" s="8"/>
      <c r="BV288" s="8"/>
      <c r="BW288" s="8"/>
      <c r="BX288" s="8"/>
      <c r="BY288" s="8"/>
      <c r="BZ288" s="8"/>
      <c r="CA288" s="8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/>
      <c r="FX288" s="6"/>
      <c r="FY288" s="6"/>
      <c r="FZ288" s="6"/>
      <c r="GA288" s="6"/>
    </row>
    <row r="289" spans="2:183" s="76" customFormat="1" ht="12" customHeight="1">
      <c r="B289" s="8"/>
      <c r="C289" s="8"/>
      <c r="D289" s="75"/>
      <c r="E289" s="75"/>
      <c r="F289" s="75"/>
      <c r="G289" s="75"/>
      <c r="H289" s="75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6"/>
      <c r="AQ289" s="179"/>
      <c r="AR289" s="180"/>
      <c r="AS289" s="180"/>
      <c r="AT289" s="180"/>
      <c r="AU289" s="180"/>
      <c r="AV289" s="183">
        <v>5.7000000000000099</v>
      </c>
      <c r="AW289" s="185">
        <f t="shared" si="23"/>
        <v>9.1228070175438436E-2</v>
      </c>
      <c r="AX289" s="201">
        <f t="shared" si="21"/>
        <v>9.1228070175438436E-2</v>
      </c>
      <c r="AY289" s="187">
        <v>2.85</v>
      </c>
      <c r="AZ289" s="189">
        <f t="shared" si="24"/>
        <v>0.26568187252583758</v>
      </c>
      <c r="BA289" s="202">
        <f t="shared" si="22"/>
        <v>0.26568187252583758</v>
      </c>
      <c r="BB289" s="202">
        <f t="shared" si="25"/>
        <v>1.3</v>
      </c>
      <c r="BC289" s="181"/>
      <c r="BD289" s="6"/>
      <c r="BF289" s="6"/>
      <c r="BH289" s="6"/>
      <c r="BJ289" s="6"/>
      <c r="BL289" s="6"/>
      <c r="BM289" s="6"/>
      <c r="BN289" s="6"/>
      <c r="BS289" s="8"/>
      <c r="BU289" s="8"/>
      <c r="BV289" s="8"/>
      <c r="BW289" s="8"/>
      <c r="BX289" s="8"/>
      <c r="BY289" s="8"/>
      <c r="BZ289" s="8"/>
      <c r="CA289" s="8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</row>
    <row r="290" spans="2:183" s="76" customFormat="1" ht="12" customHeight="1">
      <c r="B290" s="8"/>
      <c r="C290" s="8"/>
      <c r="D290" s="75"/>
      <c r="E290" s="75"/>
      <c r="F290" s="75"/>
      <c r="G290" s="75"/>
      <c r="H290" s="75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6"/>
      <c r="AQ290" s="179"/>
      <c r="AR290" s="180"/>
      <c r="AS290" s="180"/>
      <c r="AT290" s="180"/>
      <c r="AU290" s="180"/>
      <c r="AV290" s="183">
        <v>5.7200000000000104</v>
      </c>
      <c r="AW290" s="185">
        <f t="shared" si="23"/>
        <v>9.0909090909090745E-2</v>
      </c>
      <c r="AX290" s="201">
        <f t="shared" si="21"/>
        <v>9.0909090909090745E-2</v>
      </c>
      <c r="AY290" s="187">
        <v>2.86</v>
      </c>
      <c r="AZ290" s="189">
        <f t="shared" si="24"/>
        <v>0.26568187252583758</v>
      </c>
      <c r="BA290" s="202">
        <f t="shared" si="22"/>
        <v>0.26568187252583758</v>
      </c>
      <c r="BB290" s="202">
        <f>IF(OR(AY290&lt;0.2,AY290=0.2),1,IF(AND(AY290&gt;0.2,OR(AY290&lt;1,AY290=1)),(1+(0.375*(AY290-0.2))),IF(AND(AY290&gt;1,OR(AY290&lt;10,AY290=10)),1.3,"Error")))</f>
        <v>1.3</v>
      </c>
      <c r="BC290" s="181"/>
      <c r="BD290" s="6"/>
      <c r="BF290" s="6"/>
      <c r="BH290" s="6"/>
      <c r="BJ290" s="6"/>
      <c r="BL290" s="6"/>
      <c r="BM290" s="6"/>
      <c r="BN290" s="6"/>
      <c r="BS290" s="8"/>
      <c r="BU290" s="8"/>
      <c r="BV290" s="8"/>
      <c r="BW290" s="8"/>
      <c r="BX290" s="8"/>
      <c r="BY290" s="8"/>
      <c r="BZ290" s="8"/>
      <c r="CA290" s="8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</row>
    <row r="291" spans="2:183" s="76" customFormat="1" ht="12" customHeight="1">
      <c r="B291" s="8"/>
      <c r="C291" s="8"/>
      <c r="D291" s="75"/>
      <c r="E291" s="75"/>
      <c r="F291" s="75"/>
      <c r="G291" s="75"/>
      <c r="H291" s="75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6"/>
      <c r="AQ291" s="179"/>
      <c r="AR291" s="180"/>
      <c r="AS291" s="180"/>
      <c r="AT291" s="180"/>
      <c r="AU291" s="180"/>
      <c r="AV291" s="183">
        <v>5.74</v>
      </c>
      <c r="AW291" s="185">
        <f t="shared" si="23"/>
        <v>9.0592334494773524E-2</v>
      </c>
      <c r="AX291" s="201">
        <f t="shared" si="21"/>
        <v>9.0592334494773524E-2</v>
      </c>
      <c r="AY291" s="187">
        <v>2.87</v>
      </c>
      <c r="AZ291" s="189">
        <f t="shared" si="24"/>
        <v>0.26568187252583758</v>
      </c>
      <c r="BA291" s="202">
        <f t="shared" si="22"/>
        <v>0.26568187252583758</v>
      </c>
      <c r="BB291" s="202">
        <f t="shared" ref="BB291:BB309" si="26">IF(OR(AY291&lt;0.2,AY291=0.2),1,IF(AND(AY291&gt;0.2,OR(AY291&lt;1,AY291=1)),(1+(0.375*(AY291-0.2))),IF(AND(AY291&gt;1,OR(AY291&lt;10,AY291=10)),1.3,"Error")))</f>
        <v>1.3</v>
      </c>
      <c r="BC291" s="181"/>
      <c r="BD291" s="6"/>
      <c r="BF291" s="6"/>
      <c r="BH291" s="6"/>
      <c r="BJ291" s="6"/>
      <c r="BL291" s="6"/>
      <c r="BM291" s="6"/>
      <c r="BN291" s="6"/>
      <c r="BS291" s="8"/>
      <c r="BU291" s="8"/>
      <c r="BV291" s="8"/>
      <c r="BW291" s="8"/>
      <c r="BX291" s="8"/>
      <c r="BY291" s="8"/>
      <c r="BZ291" s="8"/>
      <c r="CA291" s="8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</row>
    <row r="292" spans="2:183" s="76" customFormat="1" ht="12" customHeight="1">
      <c r="B292" s="8"/>
      <c r="C292" s="8"/>
      <c r="D292" s="75"/>
      <c r="E292" s="75"/>
      <c r="F292" s="75"/>
      <c r="G292" s="75"/>
      <c r="H292" s="75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6"/>
      <c r="AQ292" s="179"/>
      <c r="AR292" s="180"/>
      <c r="AS292" s="180"/>
      <c r="AT292" s="180"/>
      <c r="AU292" s="180"/>
      <c r="AV292" s="183">
        <v>5.76</v>
      </c>
      <c r="AW292" s="185">
        <f t="shared" si="23"/>
        <v>9.027777777777779E-2</v>
      </c>
      <c r="AX292" s="201">
        <f t="shared" si="21"/>
        <v>9.027777777777779E-2</v>
      </c>
      <c r="AY292" s="187">
        <v>2.88</v>
      </c>
      <c r="AZ292" s="189">
        <f t="shared" si="24"/>
        <v>0.26568187252583758</v>
      </c>
      <c r="BA292" s="202">
        <f t="shared" si="22"/>
        <v>0.26568187252583758</v>
      </c>
      <c r="BB292" s="202">
        <f t="shared" si="26"/>
        <v>1.3</v>
      </c>
      <c r="BC292" s="181"/>
      <c r="BD292" s="6"/>
      <c r="BF292" s="6"/>
      <c r="BH292" s="6"/>
      <c r="BJ292" s="6"/>
      <c r="BL292" s="6"/>
      <c r="BM292" s="6"/>
      <c r="BN292" s="6"/>
      <c r="BS292" s="8"/>
      <c r="BU292" s="8"/>
      <c r="BV292" s="8"/>
      <c r="BW292" s="8"/>
      <c r="BX292" s="8"/>
      <c r="BY292" s="8"/>
      <c r="BZ292" s="8"/>
      <c r="CA292" s="8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</row>
    <row r="293" spans="2:183" s="76" customFormat="1" ht="12" customHeight="1">
      <c r="B293" s="8"/>
      <c r="C293" s="8"/>
      <c r="D293" s="75"/>
      <c r="E293" s="75"/>
      <c r="F293" s="75"/>
      <c r="G293" s="75"/>
      <c r="H293" s="75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6"/>
      <c r="AQ293" s="179"/>
      <c r="AR293" s="180"/>
      <c r="AS293" s="180"/>
      <c r="AT293" s="180"/>
      <c r="AU293" s="180"/>
      <c r="AV293" s="183">
        <v>5.78</v>
      </c>
      <c r="AW293" s="185">
        <f t="shared" si="23"/>
        <v>8.9965397923875437E-2</v>
      </c>
      <c r="AX293" s="201">
        <f t="shared" si="21"/>
        <v>8.9965397923875437E-2</v>
      </c>
      <c r="AY293" s="187">
        <v>2.89</v>
      </c>
      <c r="AZ293" s="189">
        <f t="shared" si="24"/>
        <v>0.26568187252583758</v>
      </c>
      <c r="BA293" s="202">
        <f t="shared" si="22"/>
        <v>0.26568187252583758</v>
      </c>
      <c r="BB293" s="202">
        <f t="shared" si="26"/>
        <v>1.3</v>
      </c>
      <c r="BC293" s="181"/>
      <c r="BD293" s="6"/>
      <c r="BF293" s="6"/>
      <c r="BH293" s="6"/>
      <c r="BJ293" s="6"/>
      <c r="BL293" s="6"/>
      <c r="BM293" s="6"/>
      <c r="BN293" s="6"/>
      <c r="BS293" s="8"/>
      <c r="BU293" s="8"/>
      <c r="BV293" s="8"/>
      <c r="BW293" s="8"/>
      <c r="BX293" s="8"/>
      <c r="BY293" s="8"/>
      <c r="BZ293" s="8"/>
      <c r="CA293" s="8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/>
      <c r="FW293" s="6"/>
      <c r="FX293" s="6"/>
      <c r="FY293" s="6"/>
      <c r="FZ293" s="6"/>
      <c r="GA293" s="6"/>
    </row>
    <row r="294" spans="2:183" s="76" customFormat="1" ht="12" customHeight="1">
      <c r="B294" s="8"/>
      <c r="C294" s="8"/>
      <c r="D294" s="75"/>
      <c r="E294" s="75"/>
      <c r="F294" s="75"/>
      <c r="G294" s="75"/>
      <c r="H294" s="75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6"/>
      <c r="AQ294" s="179"/>
      <c r="AR294" s="180"/>
      <c r="AS294" s="180"/>
      <c r="AT294" s="180"/>
      <c r="AU294" s="180"/>
      <c r="AV294" s="183">
        <v>5.8</v>
      </c>
      <c r="AW294" s="185">
        <f t="shared" si="23"/>
        <v>8.9655172413793116E-2</v>
      </c>
      <c r="AX294" s="201">
        <f t="shared" si="21"/>
        <v>8.9655172413793116E-2</v>
      </c>
      <c r="AY294" s="187">
        <v>2.9</v>
      </c>
      <c r="AZ294" s="189">
        <f t="shared" si="24"/>
        <v>0.26568187252583758</v>
      </c>
      <c r="BA294" s="202">
        <f t="shared" si="22"/>
        <v>0.26568187252583758</v>
      </c>
      <c r="BB294" s="202">
        <f t="shared" si="26"/>
        <v>1.3</v>
      </c>
      <c r="BC294" s="181"/>
      <c r="BD294" s="6"/>
      <c r="BF294" s="6"/>
      <c r="BH294" s="6"/>
      <c r="BJ294" s="6"/>
      <c r="BL294" s="6"/>
      <c r="BM294" s="6"/>
      <c r="BN294" s="6"/>
      <c r="BS294" s="8"/>
      <c r="BU294" s="8"/>
      <c r="BV294" s="8"/>
      <c r="BW294" s="8"/>
      <c r="BX294" s="8"/>
      <c r="BY294" s="8"/>
      <c r="BZ294" s="8"/>
      <c r="CA294" s="8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</row>
    <row r="295" spans="2:183" s="76" customFormat="1" ht="12" customHeight="1">
      <c r="B295" s="8"/>
      <c r="C295" s="8"/>
      <c r="D295" s="75"/>
      <c r="E295" s="75"/>
      <c r="F295" s="75"/>
      <c r="G295" s="75"/>
      <c r="H295" s="75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6"/>
      <c r="AQ295" s="179"/>
      <c r="AR295" s="180"/>
      <c r="AS295" s="180"/>
      <c r="AT295" s="180"/>
      <c r="AU295" s="180"/>
      <c r="AV295" s="183">
        <v>5.82</v>
      </c>
      <c r="AW295" s="185">
        <f t="shared" si="23"/>
        <v>8.9347079037800689E-2</v>
      </c>
      <c r="AX295" s="201">
        <f t="shared" si="21"/>
        <v>8.9347079037800689E-2</v>
      </c>
      <c r="AY295" s="187">
        <v>2.91</v>
      </c>
      <c r="AZ295" s="189">
        <f t="shared" si="24"/>
        <v>0.26568187252583758</v>
      </c>
      <c r="BA295" s="202">
        <f t="shared" si="22"/>
        <v>0.26568187252583758</v>
      </c>
      <c r="BB295" s="202">
        <f t="shared" si="26"/>
        <v>1.3</v>
      </c>
      <c r="BC295" s="181"/>
      <c r="BD295" s="6"/>
      <c r="BF295" s="6"/>
      <c r="BH295" s="6"/>
      <c r="BJ295" s="6"/>
      <c r="BL295" s="6"/>
      <c r="BM295" s="6"/>
      <c r="BN295" s="6"/>
      <c r="BS295" s="8"/>
      <c r="BU295" s="8"/>
      <c r="BV295" s="8"/>
      <c r="BW295" s="8"/>
      <c r="BX295" s="8"/>
      <c r="BY295" s="8"/>
      <c r="BZ295" s="8"/>
      <c r="CA295" s="8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</row>
    <row r="296" spans="2:183" s="76" customFormat="1" ht="12" customHeight="1">
      <c r="B296" s="8"/>
      <c r="C296" s="8"/>
      <c r="D296" s="75"/>
      <c r="E296" s="75"/>
      <c r="F296" s="75"/>
      <c r="G296" s="75"/>
      <c r="H296" s="75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6"/>
      <c r="AQ296" s="179"/>
      <c r="AR296" s="180"/>
      <c r="AS296" s="180"/>
      <c r="AT296" s="180"/>
      <c r="AU296" s="180"/>
      <c r="AV296" s="183">
        <v>5.84</v>
      </c>
      <c r="AW296" s="185">
        <f t="shared" si="23"/>
        <v>8.9041095890410968E-2</v>
      </c>
      <c r="AX296" s="201">
        <f t="shared" si="21"/>
        <v>8.9041095890410968E-2</v>
      </c>
      <c r="AY296" s="187">
        <v>2.92</v>
      </c>
      <c r="AZ296" s="189">
        <f t="shared" si="24"/>
        <v>0.26568187252583758</v>
      </c>
      <c r="BA296" s="202">
        <f t="shared" si="22"/>
        <v>0.26568187252583758</v>
      </c>
      <c r="BB296" s="202">
        <f t="shared" si="26"/>
        <v>1.3</v>
      </c>
      <c r="BC296" s="181"/>
      <c r="BD296" s="6"/>
      <c r="BF296" s="6"/>
      <c r="BH296" s="6"/>
      <c r="BJ296" s="6"/>
      <c r="BL296" s="6"/>
      <c r="BM296" s="6"/>
      <c r="BN296" s="6"/>
      <c r="BS296" s="8"/>
      <c r="BU296" s="8"/>
      <c r="BV296" s="8"/>
      <c r="BW296" s="8"/>
      <c r="BX296" s="8"/>
      <c r="BY296" s="8"/>
      <c r="BZ296" s="8"/>
      <c r="CA296" s="8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</row>
    <row r="297" spans="2:183" s="76" customFormat="1" ht="12" customHeight="1">
      <c r="B297" s="8"/>
      <c r="C297" s="8"/>
      <c r="D297" s="75"/>
      <c r="E297" s="75"/>
      <c r="F297" s="75"/>
      <c r="G297" s="75"/>
      <c r="H297" s="75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6"/>
      <c r="AQ297" s="179"/>
      <c r="AR297" s="180"/>
      <c r="AS297" s="180"/>
      <c r="AT297" s="180"/>
      <c r="AU297" s="180"/>
      <c r="AV297" s="183">
        <v>5.86</v>
      </c>
      <c r="AW297" s="185">
        <f t="shared" si="23"/>
        <v>8.8737201365187715E-2</v>
      </c>
      <c r="AX297" s="201">
        <f t="shared" si="21"/>
        <v>8.8737201365187715E-2</v>
      </c>
      <c r="AY297" s="187">
        <v>2.93</v>
      </c>
      <c r="AZ297" s="189">
        <f t="shared" si="24"/>
        <v>0.26568187252583758</v>
      </c>
      <c r="BA297" s="202">
        <f t="shared" si="22"/>
        <v>0.26568187252583758</v>
      </c>
      <c r="BB297" s="202">
        <f t="shared" si="26"/>
        <v>1.3</v>
      </c>
      <c r="BC297" s="181"/>
      <c r="BD297" s="6"/>
      <c r="BF297" s="6"/>
      <c r="BH297" s="6"/>
      <c r="BJ297" s="6"/>
      <c r="BL297" s="6"/>
      <c r="BM297" s="6"/>
      <c r="BN297" s="6"/>
      <c r="BS297" s="8"/>
      <c r="BU297" s="8"/>
      <c r="BV297" s="8"/>
      <c r="BW297" s="8"/>
      <c r="BX297" s="8"/>
      <c r="BY297" s="8"/>
      <c r="BZ297" s="8"/>
      <c r="CA297" s="8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</row>
    <row r="298" spans="2:183" s="76" customFormat="1" ht="12" customHeight="1">
      <c r="B298" s="8"/>
      <c r="C298" s="8"/>
      <c r="D298" s="75"/>
      <c r="E298" s="75"/>
      <c r="F298" s="75"/>
      <c r="G298" s="75"/>
      <c r="H298" s="75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6"/>
      <c r="AQ298" s="179"/>
      <c r="AR298" s="180"/>
      <c r="AS298" s="180"/>
      <c r="AT298" s="180"/>
      <c r="AU298" s="180"/>
      <c r="AV298" s="183">
        <v>5.88</v>
      </c>
      <c r="AW298" s="185">
        <f t="shared" si="23"/>
        <v>8.8435374149659865E-2</v>
      </c>
      <c r="AX298" s="201">
        <f t="shared" si="21"/>
        <v>8.8435374149659865E-2</v>
      </c>
      <c r="AY298" s="187">
        <v>2.94</v>
      </c>
      <c r="AZ298" s="189">
        <f t="shared" si="24"/>
        <v>0.26568187252583758</v>
      </c>
      <c r="BA298" s="202">
        <f t="shared" si="22"/>
        <v>0.26568187252583758</v>
      </c>
      <c r="BB298" s="202">
        <f t="shared" si="26"/>
        <v>1.3</v>
      </c>
      <c r="BC298" s="181"/>
      <c r="BD298" s="6"/>
      <c r="BF298" s="6"/>
      <c r="BH298" s="6"/>
      <c r="BJ298" s="6"/>
      <c r="BL298" s="6"/>
      <c r="BM298" s="6"/>
      <c r="BN298" s="6"/>
      <c r="BS298" s="8"/>
      <c r="BU298" s="8"/>
      <c r="BV298" s="8"/>
      <c r="BW298" s="8"/>
      <c r="BX298" s="8"/>
      <c r="BY298" s="8"/>
      <c r="BZ298" s="8"/>
      <c r="CA298" s="8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/>
      <c r="FZ298" s="6"/>
      <c r="GA298" s="6"/>
    </row>
    <row r="299" spans="2:183" s="76" customFormat="1" ht="12" customHeight="1">
      <c r="B299" s="8"/>
      <c r="C299" s="8"/>
      <c r="D299" s="75"/>
      <c r="E299" s="75"/>
      <c r="F299" s="75"/>
      <c r="G299" s="75"/>
      <c r="H299" s="75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6"/>
      <c r="AQ299" s="179"/>
      <c r="AR299" s="180"/>
      <c r="AS299" s="180"/>
      <c r="AT299" s="180"/>
      <c r="AU299" s="180"/>
      <c r="AV299" s="183">
        <v>5.9</v>
      </c>
      <c r="AW299" s="185">
        <f t="shared" si="23"/>
        <v>8.8135593220338981E-2</v>
      </c>
      <c r="AX299" s="201">
        <f t="shared" si="21"/>
        <v>8.8135593220338981E-2</v>
      </c>
      <c r="AY299" s="187">
        <v>2.95</v>
      </c>
      <c r="AZ299" s="189">
        <f t="shared" si="24"/>
        <v>0.26568187252583758</v>
      </c>
      <c r="BA299" s="202">
        <f t="shared" si="22"/>
        <v>0.26568187252583758</v>
      </c>
      <c r="BB299" s="202">
        <f t="shared" si="26"/>
        <v>1.3</v>
      </c>
      <c r="BC299" s="181"/>
      <c r="BD299" s="6"/>
      <c r="BF299" s="6"/>
      <c r="BH299" s="6"/>
      <c r="BJ299" s="6"/>
      <c r="BL299" s="6"/>
      <c r="BM299" s="6"/>
      <c r="BN299" s="6"/>
      <c r="BS299" s="8"/>
      <c r="BU299" s="8"/>
      <c r="BV299" s="8"/>
      <c r="BW299" s="8"/>
      <c r="BX299" s="8"/>
      <c r="BY299" s="8"/>
      <c r="BZ299" s="8"/>
      <c r="CA299" s="8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  <c r="FW299" s="6"/>
      <c r="FX299" s="6"/>
      <c r="FY299" s="6"/>
      <c r="FZ299" s="6"/>
      <c r="GA299" s="6"/>
    </row>
    <row r="300" spans="2:183" s="76" customFormat="1" ht="12" customHeight="1">
      <c r="B300" s="8"/>
      <c r="C300" s="8"/>
      <c r="D300" s="75"/>
      <c r="E300" s="75"/>
      <c r="F300" s="75"/>
      <c r="G300" s="75"/>
      <c r="H300" s="75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6"/>
      <c r="AQ300" s="179"/>
      <c r="AR300" s="180"/>
      <c r="AS300" s="180"/>
      <c r="AT300" s="180"/>
      <c r="AU300" s="180"/>
      <c r="AV300" s="183">
        <v>5.92</v>
      </c>
      <c r="AW300" s="185">
        <f t="shared" si="23"/>
        <v>8.7837837837837843E-2</v>
      </c>
      <c r="AX300" s="201">
        <f t="shared" si="21"/>
        <v>8.7837837837837843E-2</v>
      </c>
      <c r="AY300" s="187">
        <v>2.96</v>
      </c>
      <c r="AZ300" s="189">
        <f t="shared" si="24"/>
        <v>0.26568187252583758</v>
      </c>
      <c r="BA300" s="202">
        <f t="shared" si="22"/>
        <v>0.26568187252583758</v>
      </c>
      <c r="BB300" s="202">
        <f t="shared" si="26"/>
        <v>1.3</v>
      </c>
      <c r="BC300" s="181"/>
      <c r="BD300" s="6"/>
      <c r="BF300" s="6"/>
      <c r="BH300" s="6"/>
      <c r="BJ300" s="6"/>
      <c r="BL300" s="6"/>
      <c r="BM300" s="6"/>
      <c r="BN300" s="6"/>
      <c r="BS300" s="8"/>
      <c r="BU300" s="8"/>
      <c r="BV300" s="8"/>
      <c r="BW300" s="8"/>
      <c r="BX300" s="8"/>
      <c r="BY300" s="8"/>
      <c r="BZ300" s="8"/>
      <c r="CA300" s="8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</row>
    <row r="301" spans="2:183" s="76" customFormat="1" ht="12" customHeight="1">
      <c r="B301" s="8"/>
      <c r="C301" s="8"/>
      <c r="D301" s="75"/>
      <c r="E301" s="75"/>
      <c r="F301" s="75"/>
      <c r="G301" s="75"/>
      <c r="H301" s="75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6"/>
      <c r="AQ301" s="179"/>
      <c r="AR301" s="180"/>
      <c r="AS301" s="180"/>
      <c r="AT301" s="180"/>
      <c r="AU301" s="180"/>
      <c r="AV301" s="183">
        <v>5.94</v>
      </c>
      <c r="AW301" s="185">
        <f t="shared" si="23"/>
        <v>8.7542087542087546E-2</v>
      </c>
      <c r="AX301" s="201">
        <f t="shared" si="21"/>
        <v>8.7542087542087546E-2</v>
      </c>
      <c r="AY301" s="187">
        <v>2.97</v>
      </c>
      <c r="AZ301" s="189">
        <f t="shared" si="24"/>
        <v>0.26568187252583758</v>
      </c>
      <c r="BA301" s="202">
        <f t="shared" si="22"/>
        <v>0.26568187252583758</v>
      </c>
      <c r="BB301" s="202">
        <f t="shared" si="26"/>
        <v>1.3</v>
      </c>
      <c r="BC301" s="181"/>
      <c r="BD301" s="6"/>
      <c r="BF301" s="6"/>
      <c r="BH301" s="6"/>
      <c r="BJ301" s="6"/>
      <c r="BL301" s="6"/>
      <c r="BM301" s="6"/>
      <c r="BN301" s="6"/>
      <c r="BS301" s="8"/>
      <c r="BU301" s="8"/>
      <c r="BV301" s="8"/>
      <c r="BW301" s="8"/>
      <c r="BX301" s="8"/>
      <c r="BY301" s="8"/>
      <c r="BZ301" s="8"/>
      <c r="CA301" s="8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</row>
    <row r="302" spans="2:183" s="76" customFormat="1" ht="12" customHeight="1">
      <c r="B302" s="8"/>
      <c r="C302" s="8"/>
      <c r="D302" s="75"/>
      <c r="E302" s="75"/>
      <c r="F302" s="75"/>
      <c r="G302" s="75"/>
      <c r="H302" s="75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6"/>
      <c r="AQ302" s="179"/>
      <c r="AR302" s="180"/>
      <c r="AS302" s="180"/>
      <c r="AT302" s="180"/>
      <c r="AU302" s="180"/>
      <c r="AV302" s="183">
        <v>5.96</v>
      </c>
      <c r="AW302" s="185">
        <f t="shared" si="23"/>
        <v>8.7248322147651006E-2</v>
      </c>
      <c r="AX302" s="201">
        <f t="shared" si="21"/>
        <v>8.7248322147651006E-2</v>
      </c>
      <c r="AY302" s="187">
        <v>2.98</v>
      </c>
      <c r="AZ302" s="189">
        <f t="shared" si="24"/>
        <v>0.26568187252583758</v>
      </c>
      <c r="BA302" s="202">
        <f t="shared" si="22"/>
        <v>0.26568187252583758</v>
      </c>
      <c r="BB302" s="202">
        <f t="shared" si="26"/>
        <v>1.3</v>
      </c>
      <c r="BC302" s="181"/>
      <c r="BD302" s="6"/>
      <c r="BF302" s="6"/>
      <c r="BH302" s="6"/>
      <c r="BJ302" s="6"/>
      <c r="BL302" s="6"/>
      <c r="BM302" s="6"/>
      <c r="BN302" s="6"/>
      <c r="BS302" s="8"/>
      <c r="BU302" s="8"/>
      <c r="BV302" s="8"/>
      <c r="BW302" s="8"/>
      <c r="BX302" s="8"/>
      <c r="BY302" s="8"/>
      <c r="BZ302" s="8"/>
      <c r="CA302" s="8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</row>
    <row r="303" spans="2:183" s="76" customFormat="1" ht="12" customHeight="1">
      <c r="B303" s="8"/>
      <c r="C303" s="8"/>
      <c r="D303" s="75"/>
      <c r="E303" s="75"/>
      <c r="F303" s="75"/>
      <c r="G303" s="75"/>
      <c r="H303" s="75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6"/>
      <c r="AQ303" s="179"/>
      <c r="AR303" s="180"/>
      <c r="AS303" s="180"/>
      <c r="AT303" s="180"/>
      <c r="AU303" s="180"/>
      <c r="AV303" s="183">
        <v>5.98</v>
      </c>
      <c r="AW303" s="185">
        <f t="shared" si="23"/>
        <v>8.6956521739130432E-2</v>
      </c>
      <c r="AX303" s="201">
        <f t="shared" si="21"/>
        <v>8.6956521739130432E-2</v>
      </c>
      <c r="AY303" s="187">
        <v>2.99</v>
      </c>
      <c r="AZ303" s="189">
        <f t="shared" si="24"/>
        <v>0.26568187252583758</v>
      </c>
      <c r="BA303" s="202">
        <f t="shared" si="22"/>
        <v>0.26568187252583758</v>
      </c>
      <c r="BB303" s="202">
        <f t="shared" si="26"/>
        <v>1.3</v>
      </c>
      <c r="BC303" s="181"/>
      <c r="BD303" s="6"/>
      <c r="BF303" s="6"/>
      <c r="BH303" s="6"/>
      <c r="BJ303" s="6"/>
      <c r="BL303" s="6"/>
      <c r="BM303" s="6"/>
      <c r="BN303" s="6"/>
      <c r="BS303" s="8"/>
      <c r="BU303" s="8"/>
      <c r="BV303" s="8"/>
      <c r="BW303" s="8"/>
      <c r="BX303" s="8"/>
      <c r="BY303" s="8"/>
      <c r="BZ303" s="8"/>
      <c r="CA303" s="8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</row>
    <row r="304" spans="2:183" s="76" customFormat="1" ht="12" customHeight="1">
      <c r="B304" s="8"/>
      <c r="C304" s="8"/>
      <c r="D304" s="75"/>
      <c r="E304" s="75"/>
      <c r="F304" s="75"/>
      <c r="G304" s="75"/>
      <c r="H304" s="75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6"/>
      <c r="AQ304" s="179"/>
      <c r="AR304" s="180"/>
      <c r="AS304" s="180"/>
      <c r="AT304" s="180"/>
      <c r="AU304" s="180"/>
      <c r="AV304" s="183">
        <v>6</v>
      </c>
      <c r="AW304" s="185">
        <f t="shared" si="23"/>
        <v>8.666666666666667E-2</v>
      </c>
      <c r="AX304" s="201">
        <f t="shared" si="21"/>
        <v>8.666666666666667E-2</v>
      </c>
      <c r="AY304" s="187">
        <v>3</v>
      </c>
      <c r="AZ304" s="189">
        <f t="shared" si="24"/>
        <v>0.26568187252583758</v>
      </c>
      <c r="BA304" s="202">
        <f t="shared" si="22"/>
        <v>0.26568187252583758</v>
      </c>
      <c r="BB304" s="202">
        <f t="shared" si="26"/>
        <v>1.3</v>
      </c>
      <c r="BC304" s="181"/>
      <c r="BD304" s="6"/>
      <c r="BF304" s="6"/>
      <c r="BH304" s="6"/>
      <c r="BJ304" s="6"/>
      <c r="BL304" s="6"/>
      <c r="BM304" s="6"/>
      <c r="BN304" s="6"/>
      <c r="BS304" s="8"/>
      <c r="BU304" s="8"/>
      <c r="BV304" s="8"/>
      <c r="BW304" s="8"/>
      <c r="BX304" s="8"/>
      <c r="BY304" s="8"/>
      <c r="BZ304" s="8"/>
      <c r="CA304" s="8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</row>
    <row r="305" spans="2:183" s="76" customFormat="1" ht="12" customHeight="1">
      <c r="B305" s="8"/>
      <c r="C305" s="8"/>
      <c r="D305" s="75"/>
      <c r="E305" s="75"/>
      <c r="F305" s="75"/>
      <c r="G305" s="75"/>
      <c r="H305" s="75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6"/>
      <c r="AQ305" s="179"/>
      <c r="AR305" s="180"/>
      <c r="AS305" s="180"/>
      <c r="AT305" s="180"/>
      <c r="AU305" s="180"/>
      <c r="AV305" s="183">
        <v>6.02</v>
      </c>
      <c r="AW305" s="185">
        <f t="shared" si="23"/>
        <v>8.6091764991556408E-2</v>
      </c>
      <c r="AX305" s="201">
        <f t="shared" si="21"/>
        <v>8.6091764991556408E-2</v>
      </c>
      <c r="AY305" s="187">
        <v>3.01</v>
      </c>
      <c r="AZ305" s="189">
        <f t="shared" si="24"/>
        <v>0.26568187252583758</v>
      </c>
      <c r="BA305" s="202">
        <f t="shared" si="22"/>
        <v>0.26568187252583758</v>
      </c>
      <c r="BB305" s="202">
        <f t="shared" si="26"/>
        <v>1.3</v>
      </c>
      <c r="BC305" s="181"/>
      <c r="BD305" s="6"/>
      <c r="BF305" s="6"/>
      <c r="BH305" s="6"/>
      <c r="BJ305" s="6"/>
      <c r="BL305" s="6"/>
      <c r="BM305" s="6"/>
      <c r="BN305" s="6"/>
      <c r="BS305" s="8"/>
      <c r="BU305" s="8"/>
      <c r="BV305" s="8"/>
      <c r="BW305" s="8"/>
      <c r="BX305" s="8"/>
      <c r="BY305" s="8"/>
      <c r="BZ305" s="8"/>
      <c r="CA305" s="8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</row>
    <row r="306" spans="2:183" s="76" customFormat="1" ht="12" customHeight="1">
      <c r="B306" s="8"/>
      <c r="C306" s="8"/>
      <c r="D306" s="75"/>
      <c r="E306" s="75"/>
      <c r="F306" s="75"/>
      <c r="G306" s="75"/>
      <c r="H306" s="75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6"/>
      <c r="AQ306" s="179"/>
      <c r="AR306" s="180"/>
      <c r="AS306" s="180"/>
      <c r="AT306" s="180"/>
      <c r="AU306" s="180"/>
      <c r="AV306" s="183">
        <v>6.04</v>
      </c>
      <c r="AW306" s="185">
        <f t="shared" si="23"/>
        <v>8.552256479978948E-2</v>
      </c>
      <c r="AX306" s="201">
        <f t="shared" si="21"/>
        <v>8.552256479978948E-2</v>
      </c>
      <c r="AY306" s="187">
        <v>3.02</v>
      </c>
      <c r="AZ306" s="189">
        <f t="shared" si="24"/>
        <v>0.26568187252583758</v>
      </c>
      <c r="BA306" s="202">
        <f t="shared" si="22"/>
        <v>0.26568187252583758</v>
      </c>
      <c r="BB306" s="202">
        <f t="shared" si="26"/>
        <v>1.3</v>
      </c>
      <c r="BC306" s="181"/>
      <c r="BD306" s="6"/>
      <c r="BF306" s="6"/>
      <c r="BH306" s="6"/>
      <c r="BJ306" s="6"/>
      <c r="BL306" s="6"/>
      <c r="BM306" s="6"/>
      <c r="BN306" s="6"/>
      <c r="BS306" s="8"/>
      <c r="BU306" s="8"/>
      <c r="BV306" s="8"/>
      <c r="BW306" s="8"/>
      <c r="BX306" s="8"/>
      <c r="BY306" s="8"/>
      <c r="BZ306" s="8"/>
      <c r="CA306" s="8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</row>
    <row r="307" spans="2:183" s="76" customFormat="1" ht="12" customHeight="1">
      <c r="B307" s="8"/>
      <c r="C307" s="8"/>
      <c r="D307" s="75"/>
      <c r="E307" s="75"/>
      <c r="F307" s="75"/>
      <c r="G307" s="75"/>
      <c r="H307" s="75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6"/>
      <c r="AQ307" s="179"/>
      <c r="AR307" s="180"/>
      <c r="AS307" s="180"/>
      <c r="AT307" s="180"/>
      <c r="AU307" s="180"/>
      <c r="AV307" s="183">
        <v>6.06</v>
      </c>
      <c r="AW307" s="185">
        <f t="shared" si="23"/>
        <v>8.4958990948599822E-2</v>
      </c>
      <c r="AX307" s="201">
        <f t="shared" si="21"/>
        <v>8.4958990948599822E-2</v>
      </c>
      <c r="AY307" s="187">
        <v>3.03</v>
      </c>
      <c r="AZ307" s="189">
        <f t="shared" si="24"/>
        <v>0.26568187252583758</v>
      </c>
      <c r="BA307" s="202">
        <f t="shared" si="22"/>
        <v>0.26568187252583758</v>
      </c>
      <c r="BB307" s="202">
        <f t="shared" si="26"/>
        <v>1.3</v>
      </c>
      <c r="BC307" s="181"/>
      <c r="BD307" s="6"/>
      <c r="BF307" s="6"/>
      <c r="BH307" s="6"/>
      <c r="BJ307" s="6"/>
      <c r="BL307" s="6"/>
      <c r="BM307" s="6"/>
      <c r="BN307" s="6"/>
      <c r="BS307" s="8"/>
      <c r="BU307" s="8"/>
      <c r="BV307" s="8"/>
      <c r="BW307" s="8"/>
      <c r="BX307" s="8"/>
      <c r="BY307" s="8"/>
      <c r="BZ307" s="8"/>
      <c r="CA307" s="8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</row>
    <row r="308" spans="2:183" s="76" customFormat="1" ht="12" customHeight="1">
      <c r="B308" s="8"/>
      <c r="C308" s="8"/>
      <c r="D308" s="75"/>
      <c r="E308" s="75"/>
      <c r="F308" s="75"/>
      <c r="G308" s="75"/>
      <c r="H308" s="75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6"/>
      <c r="AQ308" s="179"/>
      <c r="AR308" s="180"/>
      <c r="AS308" s="180"/>
      <c r="AT308" s="180"/>
      <c r="AU308" s="180"/>
      <c r="AV308" s="183">
        <v>6.08</v>
      </c>
      <c r="AW308" s="185">
        <f t="shared" si="23"/>
        <v>8.4400969529085879E-2</v>
      </c>
      <c r="AX308" s="201">
        <f t="shared" si="21"/>
        <v>8.4400969529085879E-2</v>
      </c>
      <c r="AY308" s="187">
        <v>3.04</v>
      </c>
      <c r="AZ308" s="189">
        <f t="shared" si="24"/>
        <v>0.26568187252583758</v>
      </c>
      <c r="BA308" s="202">
        <f t="shared" si="22"/>
        <v>0.26568187252583758</v>
      </c>
      <c r="BB308" s="202">
        <f t="shared" si="26"/>
        <v>1.3</v>
      </c>
      <c r="BC308" s="181"/>
      <c r="BD308" s="6"/>
      <c r="BF308" s="6"/>
      <c r="BH308" s="6"/>
      <c r="BJ308" s="6"/>
      <c r="BL308" s="6"/>
      <c r="BM308" s="6"/>
      <c r="BN308" s="6"/>
      <c r="BS308" s="8"/>
      <c r="BU308" s="8"/>
      <c r="BV308" s="8"/>
      <c r="BW308" s="8"/>
      <c r="BX308" s="8"/>
      <c r="BY308" s="8"/>
      <c r="BZ308" s="8"/>
      <c r="CA308" s="8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</row>
    <row r="309" spans="2:183" s="76" customFormat="1" ht="12" customHeight="1">
      <c r="B309" s="8"/>
      <c r="C309" s="8"/>
      <c r="D309" s="75"/>
      <c r="E309" s="75"/>
      <c r="F309" s="75"/>
      <c r="G309" s="75"/>
      <c r="H309" s="75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6"/>
      <c r="AQ309" s="179"/>
      <c r="AR309" s="180"/>
      <c r="AS309" s="180"/>
      <c r="AT309" s="180"/>
      <c r="AU309" s="180"/>
      <c r="AV309" s="183">
        <v>6.1</v>
      </c>
      <c r="AW309" s="185">
        <f t="shared" si="23"/>
        <v>8.3848427841977977E-2</v>
      </c>
      <c r="AX309" s="201">
        <f t="shared" si="21"/>
        <v>8.3848427841977977E-2</v>
      </c>
      <c r="AY309" s="187">
        <v>3.05</v>
      </c>
      <c r="AZ309" s="189">
        <f t="shared" si="24"/>
        <v>0.26568187252583758</v>
      </c>
      <c r="BA309" s="202">
        <f t="shared" si="22"/>
        <v>0.26568187252583758</v>
      </c>
      <c r="BB309" s="202">
        <f t="shared" si="26"/>
        <v>1.3</v>
      </c>
      <c r="BC309" s="181"/>
      <c r="BD309" s="6"/>
      <c r="BF309" s="6"/>
      <c r="BH309" s="6"/>
      <c r="BJ309" s="6"/>
      <c r="BL309" s="6"/>
      <c r="BM309" s="6"/>
      <c r="BN309" s="6"/>
      <c r="BS309" s="8"/>
      <c r="BU309" s="8"/>
      <c r="BV309" s="8"/>
      <c r="BW309" s="8"/>
      <c r="BX309" s="8"/>
      <c r="BY309" s="8"/>
      <c r="BZ309" s="8"/>
      <c r="CA309" s="8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</row>
    <row r="310" spans="2:183" s="76" customFormat="1" ht="12" customHeight="1">
      <c r="B310" s="8"/>
      <c r="C310" s="8"/>
      <c r="D310" s="75"/>
      <c r="E310" s="75"/>
      <c r="F310" s="75"/>
      <c r="G310" s="75"/>
      <c r="H310" s="75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6"/>
      <c r="AQ310" s="179"/>
      <c r="AR310" s="180"/>
      <c r="AS310" s="180"/>
      <c r="AT310" s="180"/>
      <c r="AU310" s="180"/>
      <c r="AV310" s="183">
        <v>6.12</v>
      </c>
      <c r="AW310" s="185">
        <f t="shared" si="23"/>
        <v>8.3301294373958737E-2</v>
      </c>
      <c r="AX310" s="201">
        <f t="shared" si="21"/>
        <v>8.3301294373958737E-2</v>
      </c>
      <c r="AY310" s="187">
        <v>3.06</v>
      </c>
      <c r="AZ310" s="189">
        <f t="shared" si="24"/>
        <v>0.26568187252583758</v>
      </c>
      <c r="BA310" s="202">
        <f t="shared" si="22"/>
        <v>0.26568187252583758</v>
      </c>
      <c r="BB310" s="202">
        <f>IF(OR(AY310&lt;0.2,AY310=0.2),1,IF(AND(AY310&gt;0.2,OR(AY310&lt;1,AY310=1)),(1+(0.375*(AY310-0.2))),IF(AND(AY310&gt;1,OR(AY310&lt;10,AY310=10)),1.3,"Error")))</f>
        <v>1.3</v>
      </c>
      <c r="BC310" s="181"/>
      <c r="BD310" s="6"/>
      <c r="BF310" s="6"/>
      <c r="BH310" s="6"/>
      <c r="BJ310" s="6"/>
      <c r="BL310" s="6"/>
      <c r="BM310" s="6"/>
      <c r="BN310" s="6"/>
      <c r="BS310" s="8"/>
      <c r="BU310" s="8"/>
      <c r="BV310" s="8"/>
      <c r="BW310" s="8"/>
      <c r="BX310" s="8"/>
      <c r="BY310" s="8"/>
      <c r="BZ310" s="8"/>
      <c r="CA310" s="8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</row>
    <row r="311" spans="2:183" s="76" customFormat="1" ht="12" customHeight="1">
      <c r="B311" s="8"/>
      <c r="C311" s="8"/>
      <c r="D311" s="75"/>
      <c r="E311" s="75"/>
      <c r="F311" s="75"/>
      <c r="G311" s="75"/>
      <c r="H311" s="75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6"/>
      <c r="AQ311" s="179"/>
      <c r="AR311" s="180"/>
      <c r="AS311" s="180"/>
      <c r="AT311" s="180"/>
      <c r="AU311" s="180"/>
      <c r="AV311" s="183">
        <v>6.14</v>
      </c>
      <c r="AW311" s="185">
        <f t="shared" si="23"/>
        <v>8.2759498774522822E-2</v>
      </c>
      <c r="AX311" s="201">
        <f t="shared" si="21"/>
        <v>8.2759498774522822E-2</v>
      </c>
      <c r="AY311" s="187">
        <v>3.07</v>
      </c>
      <c r="AZ311" s="189">
        <f t="shared" si="24"/>
        <v>0.26568187252583758</v>
      </c>
      <c r="BA311" s="202">
        <f t="shared" si="22"/>
        <v>0.26568187252583758</v>
      </c>
      <c r="BB311" s="202">
        <f t="shared" ref="BB311:BB374" si="27">IF(OR(AY311&lt;0.2,AY311=0.2),1,IF(AND(AY311&gt;0.2,OR(AY311&lt;1,AY311=1)),(1+(0.375*(AY311-0.2))),IF(AND(AY311&gt;1,OR(AY311&lt;10,AY311=10)),1.3,"Error")))</f>
        <v>1.3</v>
      </c>
      <c r="BC311" s="181"/>
      <c r="BD311" s="6"/>
      <c r="BF311" s="6"/>
      <c r="BH311" s="6"/>
      <c r="BJ311" s="6"/>
      <c r="BL311" s="6"/>
      <c r="BM311" s="6"/>
      <c r="BN311" s="6"/>
      <c r="BS311" s="8"/>
      <c r="BU311" s="8"/>
      <c r="BV311" s="8"/>
      <c r="BW311" s="8"/>
      <c r="BX311" s="8"/>
      <c r="BY311" s="8"/>
      <c r="BZ311" s="8"/>
      <c r="CA311" s="8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</row>
    <row r="312" spans="2:183" s="76" customFormat="1" ht="12" customHeight="1">
      <c r="B312" s="8"/>
      <c r="C312" s="8"/>
      <c r="D312" s="75"/>
      <c r="E312" s="75"/>
      <c r="F312" s="75"/>
      <c r="G312" s="75"/>
      <c r="H312" s="75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6"/>
      <c r="AQ312" s="179"/>
      <c r="AR312" s="180"/>
      <c r="AS312" s="180"/>
      <c r="AT312" s="180"/>
      <c r="AU312" s="180"/>
      <c r="AV312" s="183">
        <v>6.16</v>
      </c>
      <c r="AW312" s="185">
        <f t="shared" si="23"/>
        <v>8.2222971833361455E-2</v>
      </c>
      <c r="AX312" s="201">
        <f t="shared" si="21"/>
        <v>8.2222971833361455E-2</v>
      </c>
      <c r="AY312" s="187">
        <v>3.08</v>
      </c>
      <c r="AZ312" s="189">
        <f t="shared" si="24"/>
        <v>0.26568187252583758</v>
      </c>
      <c r="BA312" s="202">
        <f t="shared" si="22"/>
        <v>0.26568187252583758</v>
      </c>
      <c r="BB312" s="202">
        <f t="shared" si="27"/>
        <v>1.3</v>
      </c>
      <c r="BC312" s="181"/>
      <c r="BD312" s="6"/>
      <c r="BF312" s="6"/>
      <c r="BH312" s="6"/>
      <c r="BJ312" s="6"/>
      <c r="BL312" s="6"/>
      <c r="BM312" s="6"/>
      <c r="BN312" s="6"/>
      <c r="BS312" s="8"/>
      <c r="BU312" s="8"/>
      <c r="BV312" s="8"/>
      <c r="BW312" s="8"/>
      <c r="BX312" s="8"/>
      <c r="BY312" s="8"/>
      <c r="BZ312" s="8"/>
      <c r="CA312" s="8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</row>
    <row r="313" spans="2:183" s="76" customFormat="1" ht="12" customHeight="1">
      <c r="B313" s="8"/>
      <c r="C313" s="8"/>
      <c r="D313" s="75"/>
      <c r="E313" s="75"/>
      <c r="F313" s="75"/>
      <c r="G313" s="75"/>
      <c r="H313" s="75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6"/>
      <c r="AQ313" s="179"/>
      <c r="AR313" s="180"/>
      <c r="AS313" s="180"/>
      <c r="AT313" s="180"/>
      <c r="AU313" s="180"/>
      <c r="AV313" s="183">
        <v>6.18</v>
      </c>
      <c r="AW313" s="185">
        <f t="shared" si="23"/>
        <v>8.1691645458258716E-2</v>
      </c>
      <c r="AX313" s="201">
        <f t="shared" si="21"/>
        <v>8.1691645458258716E-2</v>
      </c>
      <c r="AY313" s="187">
        <v>3.09</v>
      </c>
      <c r="AZ313" s="189">
        <f t="shared" si="24"/>
        <v>0.26568187252583758</v>
      </c>
      <c r="BA313" s="202">
        <f t="shared" si="22"/>
        <v>0.26568187252583758</v>
      </c>
      <c r="BB313" s="202">
        <f t="shared" si="27"/>
        <v>1.3</v>
      </c>
      <c r="BC313" s="181"/>
      <c r="BD313" s="6"/>
      <c r="BF313" s="6"/>
      <c r="BH313" s="6"/>
      <c r="BJ313" s="6"/>
      <c r="BL313" s="6"/>
      <c r="BM313" s="6"/>
      <c r="BN313" s="6"/>
      <c r="BS313" s="8"/>
      <c r="BU313" s="8"/>
      <c r="BV313" s="8"/>
      <c r="BW313" s="8"/>
      <c r="BX313" s="8"/>
      <c r="BY313" s="8"/>
      <c r="BZ313" s="8"/>
      <c r="CA313" s="8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</row>
    <row r="314" spans="2:183" s="76" customFormat="1" ht="12" customHeight="1">
      <c r="B314" s="8"/>
      <c r="C314" s="8"/>
      <c r="D314" s="75"/>
      <c r="E314" s="75"/>
      <c r="F314" s="75"/>
      <c r="G314" s="75"/>
      <c r="H314" s="75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6"/>
      <c r="AQ314" s="179"/>
      <c r="AR314" s="180"/>
      <c r="AS314" s="180"/>
      <c r="AT314" s="180"/>
      <c r="AU314" s="180"/>
      <c r="AV314" s="183">
        <v>6.1999999999999904</v>
      </c>
      <c r="AW314" s="185">
        <f t="shared" si="23"/>
        <v>8.1165452653486195E-2</v>
      </c>
      <c r="AX314" s="201">
        <f t="shared" si="21"/>
        <v>8.1165452653486195E-2</v>
      </c>
      <c r="AY314" s="187">
        <v>3.1</v>
      </c>
      <c r="AZ314" s="189">
        <f t="shared" si="24"/>
        <v>0.26568187252583758</v>
      </c>
      <c r="BA314" s="202">
        <f t="shared" si="22"/>
        <v>0.26568187252583758</v>
      </c>
      <c r="BB314" s="202">
        <f t="shared" si="27"/>
        <v>1.3</v>
      </c>
      <c r="BC314" s="181"/>
      <c r="BD314" s="6"/>
      <c r="BF314" s="6"/>
      <c r="BH314" s="6"/>
      <c r="BJ314" s="6"/>
      <c r="BL314" s="6"/>
      <c r="BM314" s="6"/>
      <c r="BN314" s="6"/>
      <c r="BS314" s="8"/>
      <c r="BU314" s="8"/>
      <c r="BV314" s="8"/>
      <c r="BW314" s="8"/>
      <c r="BX314" s="8"/>
      <c r="BY314" s="8"/>
      <c r="BZ314" s="8"/>
      <c r="CA314" s="8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</row>
    <row r="315" spans="2:183" s="76" customFormat="1" ht="12" customHeight="1">
      <c r="B315" s="8"/>
      <c r="C315" s="8"/>
      <c r="D315" s="75"/>
      <c r="E315" s="75"/>
      <c r="F315" s="75"/>
      <c r="G315" s="75"/>
      <c r="H315" s="75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6"/>
      <c r="AQ315" s="179"/>
      <c r="AR315" s="180"/>
      <c r="AS315" s="180"/>
      <c r="AT315" s="180"/>
      <c r="AU315" s="180"/>
      <c r="AV315" s="183">
        <v>6.21999999999999</v>
      </c>
      <c r="AW315" s="185">
        <f t="shared" si="23"/>
        <v>8.0644327498682042E-2</v>
      </c>
      <c r="AX315" s="201">
        <f t="shared" si="21"/>
        <v>8.0644327498682042E-2</v>
      </c>
      <c r="AY315" s="187">
        <v>3.11</v>
      </c>
      <c r="AZ315" s="189">
        <f t="shared" si="24"/>
        <v>0.26568187252583758</v>
      </c>
      <c r="BA315" s="202">
        <f t="shared" si="22"/>
        <v>0.26568187252583758</v>
      </c>
      <c r="BB315" s="202">
        <f t="shared" si="27"/>
        <v>1.3</v>
      </c>
      <c r="BC315" s="181"/>
      <c r="BD315" s="6"/>
      <c r="BF315" s="6"/>
      <c r="BH315" s="6"/>
      <c r="BJ315" s="6"/>
      <c r="BL315" s="6"/>
      <c r="BM315" s="6"/>
      <c r="BN315" s="6"/>
      <c r="BS315" s="8"/>
      <c r="BU315" s="8"/>
      <c r="BV315" s="8"/>
      <c r="BW315" s="8"/>
      <c r="BX315" s="8"/>
      <c r="BY315" s="8"/>
      <c r="BZ315" s="8"/>
      <c r="CA315" s="8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</row>
    <row r="316" spans="2:183" s="76" customFormat="1" ht="12" customHeight="1">
      <c r="B316" s="8"/>
      <c r="C316" s="8"/>
      <c r="D316" s="75"/>
      <c r="E316" s="75"/>
      <c r="F316" s="75"/>
      <c r="G316" s="75"/>
      <c r="H316" s="75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6"/>
      <c r="AQ316" s="179"/>
      <c r="AR316" s="180"/>
      <c r="AS316" s="180"/>
      <c r="AT316" s="180"/>
      <c r="AU316" s="180"/>
      <c r="AV316" s="183">
        <v>6.2399999999999904</v>
      </c>
      <c r="AW316" s="185">
        <f t="shared" si="23"/>
        <v>8.0128205128205371E-2</v>
      </c>
      <c r="AX316" s="201">
        <f t="shared" si="21"/>
        <v>8.0128205128205371E-2</v>
      </c>
      <c r="AY316" s="187">
        <v>3.12</v>
      </c>
      <c r="AZ316" s="189">
        <f t="shared" si="24"/>
        <v>0.26568187252583758</v>
      </c>
      <c r="BA316" s="202">
        <f t="shared" si="22"/>
        <v>0.26568187252583758</v>
      </c>
      <c r="BB316" s="202">
        <f t="shared" si="27"/>
        <v>1.3</v>
      </c>
      <c r="BC316" s="181"/>
      <c r="BD316" s="6"/>
      <c r="BF316" s="6"/>
      <c r="BH316" s="6"/>
      <c r="BJ316" s="6"/>
      <c r="BL316" s="6"/>
      <c r="BM316" s="6"/>
      <c r="BN316" s="6"/>
      <c r="BS316" s="8"/>
      <c r="BU316" s="8"/>
      <c r="BV316" s="8"/>
      <c r="BW316" s="8"/>
      <c r="BX316" s="8"/>
      <c r="BY316" s="8"/>
      <c r="BZ316" s="8"/>
      <c r="CA316" s="8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</row>
    <row r="317" spans="2:183" s="76" customFormat="1" ht="12" customHeight="1">
      <c r="B317" s="8"/>
      <c r="C317" s="8"/>
      <c r="D317" s="75"/>
      <c r="E317" s="75"/>
      <c r="F317" s="75"/>
      <c r="G317" s="75"/>
      <c r="H317" s="75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6"/>
      <c r="AQ317" s="179"/>
      <c r="AR317" s="180"/>
      <c r="AS317" s="180"/>
      <c r="AT317" s="180"/>
      <c r="AU317" s="180"/>
      <c r="AV317" s="183">
        <v>6.25999999999999</v>
      </c>
      <c r="AW317" s="185">
        <f t="shared" si="23"/>
        <v>7.9617021710949643E-2</v>
      </c>
      <c r="AX317" s="201">
        <f t="shared" si="21"/>
        <v>7.9617021710949643E-2</v>
      </c>
      <c r="AY317" s="187">
        <v>3.13</v>
      </c>
      <c r="AZ317" s="189">
        <f t="shared" si="24"/>
        <v>0.26568187252583758</v>
      </c>
      <c r="BA317" s="202">
        <f t="shared" si="22"/>
        <v>0.26568187252583758</v>
      </c>
      <c r="BB317" s="202">
        <f t="shared" si="27"/>
        <v>1.3</v>
      </c>
      <c r="BC317" s="181"/>
      <c r="BD317" s="6"/>
      <c r="BF317" s="6"/>
      <c r="BH317" s="6"/>
      <c r="BJ317" s="6"/>
      <c r="BL317" s="6"/>
      <c r="BM317" s="6"/>
      <c r="BN317" s="6"/>
      <c r="BS317" s="8"/>
      <c r="BU317" s="8"/>
      <c r="BV317" s="8"/>
      <c r="BW317" s="8"/>
      <c r="BX317" s="8"/>
      <c r="BY317" s="8"/>
      <c r="BZ317" s="8"/>
      <c r="CA317" s="8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</row>
    <row r="318" spans="2:183" s="76" customFormat="1" ht="12" customHeight="1">
      <c r="B318" s="8"/>
      <c r="C318" s="8"/>
      <c r="D318" s="75"/>
      <c r="E318" s="75"/>
      <c r="F318" s="75"/>
      <c r="G318" s="75"/>
      <c r="H318" s="75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6"/>
      <c r="AQ318" s="179"/>
      <c r="AR318" s="180"/>
      <c r="AS318" s="180"/>
      <c r="AT318" s="180"/>
      <c r="AU318" s="180"/>
      <c r="AV318" s="183">
        <v>6.2799999999999896</v>
      </c>
      <c r="AW318" s="185">
        <f t="shared" si="23"/>
        <v>7.911071443060598E-2</v>
      </c>
      <c r="AX318" s="201">
        <f t="shared" si="21"/>
        <v>7.911071443060598E-2</v>
      </c>
      <c r="AY318" s="187">
        <v>3.14</v>
      </c>
      <c r="AZ318" s="189">
        <f t="shared" si="24"/>
        <v>0.26568187252583758</v>
      </c>
      <c r="BA318" s="202">
        <f t="shared" si="22"/>
        <v>0.26568187252583758</v>
      </c>
      <c r="BB318" s="202">
        <f t="shared" si="27"/>
        <v>1.3</v>
      </c>
      <c r="BC318" s="181"/>
      <c r="BD318" s="6"/>
      <c r="BF318" s="6"/>
      <c r="BH318" s="6"/>
      <c r="BJ318" s="6"/>
      <c r="BL318" s="6"/>
      <c r="BM318" s="6"/>
      <c r="BN318" s="6"/>
      <c r="BS318" s="8"/>
      <c r="BU318" s="8"/>
      <c r="BV318" s="8"/>
      <c r="BW318" s="8"/>
      <c r="BX318" s="8"/>
      <c r="BY318" s="8"/>
      <c r="BZ318" s="8"/>
      <c r="CA318" s="8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</row>
    <row r="319" spans="2:183" s="76" customFormat="1" ht="12" customHeight="1">
      <c r="B319" s="8"/>
      <c r="C319" s="8"/>
      <c r="D319" s="75"/>
      <c r="E319" s="75"/>
      <c r="F319" s="75"/>
      <c r="G319" s="75"/>
      <c r="H319" s="75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6"/>
      <c r="AQ319" s="179"/>
      <c r="AR319" s="180"/>
      <c r="AS319" s="180"/>
      <c r="AT319" s="180"/>
      <c r="AU319" s="180"/>
      <c r="AV319" s="183">
        <v>6.2999999999999901</v>
      </c>
      <c r="AW319" s="185">
        <f t="shared" si="23"/>
        <v>7.8609221466364565E-2</v>
      </c>
      <c r="AX319" s="201">
        <f t="shared" si="21"/>
        <v>7.8609221466364565E-2</v>
      </c>
      <c r="AY319" s="187">
        <v>3.15</v>
      </c>
      <c r="AZ319" s="189">
        <f t="shared" si="24"/>
        <v>0.26568187252583758</v>
      </c>
      <c r="BA319" s="202">
        <f t="shared" si="22"/>
        <v>0.26568187252583758</v>
      </c>
      <c r="BB319" s="202">
        <f t="shared" si="27"/>
        <v>1.3</v>
      </c>
      <c r="BC319" s="181"/>
      <c r="BD319" s="6"/>
      <c r="BF319" s="6"/>
      <c r="BH319" s="6"/>
      <c r="BJ319" s="6"/>
      <c r="BL319" s="6"/>
      <c r="BM319" s="6"/>
      <c r="BN319" s="6"/>
      <c r="BS319" s="8"/>
      <c r="BU319" s="8"/>
      <c r="BV319" s="8"/>
      <c r="BW319" s="8"/>
      <c r="BX319" s="8"/>
      <c r="BY319" s="8"/>
      <c r="BZ319" s="8"/>
      <c r="CA319" s="8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</row>
    <row r="320" spans="2:183" s="76" customFormat="1" ht="12" customHeight="1">
      <c r="B320" s="8"/>
      <c r="C320" s="8"/>
      <c r="D320" s="75"/>
      <c r="E320" s="75"/>
      <c r="F320" s="75"/>
      <c r="G320" s="75"/>
      <c r="H320" s="75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6"/>
      <c r="AQ320" s="179"/>
      <c r="AR320" s="180"/>
      <c r="AS320" s="180"/>
      <c r="AT320" s="180"/>
      <c r="AU320" s="180"/>
      <c r="AV320" s="183">
        <v>6.3199999999999896</v>
      </c>
      <c r="AW320" s="185">
        <f t="shared" si="23"/>
        <v>7.8112481974042872E-2</v>
      </c>
      <c r="AX320" s="201">
        <f t="shared" si="21"/>
        <v>7.8112481974042872E-2</v>
      </c>
      <c r="AY320" s="187">
        <v>3.16</v>
      </c>
      <c r="AZ320" s="189">
        <f t="shared" si="24"/>
        <v>0.26568187252583758</v>
      </c>
      <c r="BA320" s="202">
        <f t="shared" si="22"/>
        <v>0.26568187252583758</v>
      </c>
      <c r="BB320" s="202">
        <f t="shared" si="27"/>
        <v>1.3</v>
      </c>
      <c r="BC320" s="181"/>
      <c r="BD320" s="6"/>
      <c r="BF320" s="6"/>
      <c r="BH320" s="6"/>
      <c r="BJ320" s="6"/>
      <c r="BL320" s="6"/>
      <c r="BM320" s="6"/>
      <c r="BN320" s="6"/>
      <c r="BS320" s="8"/>
      <c r="BU320" s="8"/>
      <c r="BV320" s="8"/>
      <c r="BW320" s="8"/>
      <c r="BX320" s="8"/>
      <c r="BY320" s="8"/>
      <c r="BZ320" s="8"/>
      <c r="CA320" s="8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</row>
    <row r="321" spans="2:183" s="76" customFormat="1" ht="12" customHeight="1">
      <c r="B321" s="8"/>
      <c r="C321" s="8"/>
      <c r="D321" s="75"/>
      <c r="E321" s="75"/>
      <c r="F321" s="75"/>
      <c r="G321" s="75"/>
      <c r="H321" s="75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6"/>
      <c r="AQ321" s="179"/>
      <c r="AR321" s="180"/>
      <c r="AS321" s="180"/>
      <c r="AT321" s="180"/>
      <c r="AU321" s="180"/>
      <c r="AV321" s="183">
        <v>6.3399999999999901</v>
      </c>
      <c r="AW321" s="185">
        <f t="shared" si="23"/>
        <v>7.7620436067629542E-2</v>
      </c>
      <c r="AX321" s="201">
        <f t="shared" si="21"/>
        <v>7.7620436067629542E-2</v>
      </c>
      <c r="AY321" s="187">
        <v>3.17</v>
      </c>
      <c r="AZ321" s="189">
        <f t="shared" si="24"/>
        <v>0.26568187252583758</v>
      </c>
      <c r="BA321" s="202">
        <f t="shared" si="22"/>
        <v>0.26568187252583758</v>
      </c>
      <c r="BB321" s="202">
        <f t="shared" si="27"/>
        <v>1.3</v>
      </c>
      <c r="BC321" s="181"/>
      <c r="BD321" s="6"/>
      <c r="BF321" s="6"/>
      <c r="BH321" s="6"/>
      <c r="BJ321" s="6"/>
      <c r="BL321" s="6"/>
      <c r="BM321" s="6"/>
      <c r="BN321" s="6"/>
      <c r="BS321" s="8"/>
      <c r="BU321" s="8"/>
      <c r="BV321" s="8"/>
      <c r="BW321" s="8"/>
      <c r="BX321" s="8"/>
      <c r="BY321" s="8"/>
      <c r="BZ321" s="8"/>
      <c r="CA321" s="8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</row>
    <row r="322" spans="2:183" s="76" customFormat="1" ht="12" customHeight="1">
      <c r="B322" s="8"/>
      <c r="C322" s="8"/>
      <c r="D322" s="75"/>
      <c r="E322" s="75"/>
      <c r="F322" s="75"/>
      <c r="G322" s="75"/>
      <c r="H322" s="75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6"/>
      <c r="AQ322" s="179"/>
      <c r="AR322" s="180"/>
      <c r="AS322" s="180"/>
      <c r="AT322" s="180"/>
      <c r="AU322" s="180"/>
      <c r="AV322" s="183">
        <v>6.3599999999999897</v>
      </c>
      <c r="AW322" s="185">
        <f t="shared" si="23"/>
        <v>7.7133024801234379E-2</v>
      </c>
      <c r="AX322" s="201">
        <f t="shared" si="21"/>
        <v>7.7133024801234379E-2</v>
      </c>
      <c r="AY322" s="187">
        <v>3.18</v>
      </c>
      <c r="AZ322" s="189">
        <f t="shared" si="24"/>
        <v>0.26568187252583758</v>
      </c>
      <c r="BA322" s="202">
        <f t="shared" si="22"/>
        <v>0.26568187252583758</v>
      </c>
      <c r="BB322" s="202">
        <f t="shared" si="27"/>
        <v>1.3</v>
      </c>
      <c r="BC322" s="181"/>
      <c r="BD322" s="6"/>
      <c r="BF322" s="6"/>
      <c r="BH322" s="6"/>
      <c r="BJ322" s="6"/>
      <c r="BL322" s="6"/>
      <c r="BM322" s="6"/>
      <c r="BN322" s="6"/>
      <c r="BS322" s="8"/>
      <c r="BU322" s="8"/>
      <c r="BV322" s="8"/>
      <c r="BW322" s="8"/>
      <c r="BX322" s="8"/>
      <c r="BY322" s="8"/>
      <c r="BZ322" s="8"/>
      <c r="CA322" s="8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</row>
    <row r="323" spans="2:183" s="76" customFormat="1" ht="12" customHeight="1">
      <c r="B323" s="8"/>
      <c r="C323" s="8"/>
      <c r="D323" s="75"/>
      <c r="E323" s="75"/>
      <c r="F323" s="75"/>
      <c r="G323" s="75"/>
      <c r="H323" s="75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6"/>
      <c r="AQ323" s="179"/>
      <c r="AR323" s="180"/>
      <c r="AS323" s="180"/>
      <c r="AT323" s="180"/>
      <c r="AU323" s="180"/>
      <c r="AV323" s="183">
        <v>6.3799999999999901</v>
      </c>
      <c r="AW323" s="185">
        <f t="shared" si="23"/>
        <v>7.6650190151433498E-2</v>
      </c>
      <c r="AX323" s="201">
        <f t="shared" si="21"/>
        <v>7.6650190151433498E-2</v>
      </c>
      <c r="AY323" s="187">
        <v>3.19</v>
      </c>
      <c r="AZ323" s="189">
        <f t="shared" si="24"/>
        <v>0.26568187252583758</v>
      </c>
      <c r="BA323" s="202">
        <f t="shared" si="22"/>
        <v>0.26568187252583758</v>
      </c>
      <c r="BB323" s="202">
        <f t="shared" si="27"/>
        <v>1.3</v>
      </c>
      <c r="BC323" s="181"/>
      <c r="BD323" s="6"/>
      <c r="BF323" s="6"/>
      <c r="BH323" s="6"/>
      <c r="BJ323" s="6"/>
      <c r="BL323" s="6"/>
      <c r="BM323" s="6"/>
      <c r="BN323" s="6"/>
      <c r="BS323" s="8"/>
      <c r="BU323" s="8"/>
      <c r="BV323" s="8"/>
      <c r="BW323" s="8"/>
      <c r="BX323" s="8"/>
      <c r="BY323" s="8"/>
      <c r="BZ323" s="8"/>
      <c r="CA323" s="8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</row>
    <row r="324" spans="2:183" s="76" customFormat="1" ht="12" customHeight="1">
      <c r="B324" s="8"/>
      <c r="C324" s="8"/>
      <c r="D324" s="75"/>
      <c r="E324" s="75"/>
      <c r="F324" s="75"/>
      <c r="G324" s="75"/>
      <c r="H324" s="75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6"/>
      <c r="AQ324" s="179"/>
      <c r="AR324" s="180"/>
      <c r="AS324" s="180"/>
      <c r="AT324" s="180"/>
      <c r="AU324" s="180"/>
      <c r="AV324" s="183">
        <v>6.3999999999999897</v>
      </c>
      <c r="AW324" s="185">
        <f t="shared" si="23"/>
        <v>7.617187500000025E-2</v>
      </c>
      <c r="AX324" s="201">
        <f t="shared" ref="AX324:AX379" si="28">IF(AND(OR(AV324&gt;0,AV324=0),OR(AV324&lt;AQ$96,AV324=AQ$96)),(AQ$92*(0.4+(0.6*AV324/AQ$96))),IF(AND(AV324&gt;AQ$96,OR(AV324&lt;AQ$98,AV324=AQ$98)),AQ$92,IF(AND(AV324&gt;AQ$98,AV324&lt;AQ$100),(AQ$94/AV324),IF(OR(AV324&gt;AQ$100,AV324=AQ$100),(AQ$94*AQ$100/(AV324*AV324)),"Error"))))</f>
        <v>7.617187500000025E-2</v>
      </c>
      <c r="AY324" s="187">
        <v>3.2</v>
      </c>
      <c r="AZ324" s="189">
        <f t="shared" si="24"/>
        <v>0.26568187252583758</v>
      </c>
      <c r="BA324" s="202">
        <f t="shared" ref="BA324:BA387" si="29">IF(OR(AY324&lt;0.025,AY324=0.025),0.65*AI$179*(AJ$108/BB324),IF(AND(AY324&gt;0.025,OR(AY324&lt;0.05,AY324=0.05)),(16*AI$179*(AJ$108/BB324)*(AY324-0.025))+(0.65*AI$179*(AJ$108/BB324)),IF(AND(AY324&gt;0.05,OR(AY324&lt;0.1,AY324=0.1)),1.05*AI$179*AJ$108/BB324,IF(AND(AY324&gt;0.1,OR(AY324&lt;2,AY324=2)),MAX(0.5*AJ$108/BB324,(1.05*AI$179*AJ$108/BB324)*((0.1/AY324)^0.5)),IF(AY324&gt;2,0.5*AJ$108/BB324,"Error")))))</f>
        <v>0.26568187252583758</v>
      </c>
      <c r="BB324" s="202">
        <f t="shared" si="27"/>
        <v>1.3</v>
      </c>
      <c r="BC324" s="181"/>
      <c r="BD324" s="6"/>
      <c r="BF324" s="6"/>
      <c r="BH324" s="6"/>
      <c r="BJ324" s="6"/>
      <c r="BL324" s="6"/>
      <c r="BM324" s="6"/>
      <c r="BN324" s="6"/>
      <c r="BS324" s="8"/>
      <c r="BU324" s="8"/>
      <c r="BV324" s="8"/>
      <c r="BW324" s="8"/>
      <c r="BX324" s="8"/>
      <c r="BY324" s="8"/>
      <c r="BZ324" s="8"/>
      <c r="CA324" s="8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</row>
    <row r="325" spans="2:183" s="76" customFormat="1" ht="12" customHeight="1">
      <c r="B325" s="8"/>
      <c r="C325" s="8"/>
      <c r="D325" s="75"/>
      <c r="E325" s="75"/>
      <c r="F325" s="75"/>
      <c r="G325" s="75"/>
      <c r="H325" s="75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6"/>
      <c r="AQ325" s="179"/>
      <c r="AR325" s="180"/>
      <c r="AS325" s="180"/>
      <c r="AT325" s="180"/>
      <c r="AU325" s="180"/>
      <c r="AV325" s="183">
        <v>6.4199999999999902</v>
      </c>
      <c r="AW325" s="185">
        <f t="shared" ref="AW325:AW379" si="30">AX325</f>
        <v>7.5698023117011917E-2</v>
      </c>
      <c r="AX325" s="201">
        <f t="shared" si="28"/>
        <v>7.5698023117011917E-2</v>
      </c>
      <c r="AY325" s="187">
        <v>3.21</v>
      </c>
      <c r="AZ325" s="189">
        <f t="shared" ref="AZ325:AZ388" si="31">BA325</f>
        <v>0.26568187252583758</v>
      </c>
      <c r="BA325" s="202">
        <f t="shared" si="29"/>
        <v>0.26568187252583758</v>
      </c>
      <c r="BB325" s="202">
        <f t="shared" si="27"/>
        <v>1.3</v>
      </c>
      <c r="BC325" s="181"/>
      <c r="BD325" s="6"/>
      <c r="BF325" s="6"/>
      <c r="BH325" s="6"/>
      <c r="BJ325" s="6"/>
      <c r="BL325" s="6"/>
      <c r="BM325" s="6"/>
      <c r="BN325" s="6"/>
      <c r="BS325" s="8"/>
      <c r="BU325" s="8"/>
      <c r="BV325" s="8"/>
      <c r="BW325" s="8"/>
      <c r="BX325" s="8"/>
      <c r="BY325" s="8"/>
      <c r="BZ325" s="8"/>
      <c r="CA325" s="8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</row>
    <row r="326" spans="2:183" s="76" customFormat="1" ht="12" customHeight="1">
      <c r="B326" s="8"/>
      <c r="C326" s="8"/>
      <c r="D326" s="75"/>
      <c r="E326" s="75"/>
      <c r="F326" s="75"/>
      <c r="G326" s="75"/>
      <c r="H326" s="75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6"/>
      <c r="AQ326" s="179"/>
      <c r="AR326" s="180"/>
      <c r="AS326" s="180"/>
      <c r="AT326" s="180"/>
      <c r="AU326" s="180"/>
      <c r="AV326" s="183">
        <v>6.4399999999999897</v>
      </c>
      <c r="AW326" s="185">
        <f t="shared" si="30"/>
        <v>7.5228579144323376E-2</v>
      </c>
      <c r="AX326" s="201">
        <f t="shared" si="28"/>
        <v>7.5228579144323376E-2</v>
      </c>
      <c r="AY326" s="187">
        <v>3.22</v>
      </c>
      <c r="AZ326" s="189">
        <f t="shared" si="31"/>
        <v>0.26568187252583758</v>
      </c>
      <c r="BA326" s="202">
        <f t="shared" si="29"/>
        <v>0.26568187252583758</v>
      </c>
      <c r="BB326" s="202">
        <f t="shared" si="27"/>
        <v>1.3</v>
      </c>
      <c r="BC326" s="181"/>
      <c r="BD326" s="6"/>
      <c r="BF326" s="6"/>
      <c r="BH326" s="6"/>
      <c r="BJ326" s="6"/>
      <c r="BL326" s="6"/>
      <c r="BM326" s="6"/>
      <c r="BN326" s="6"/>
      <c r="BS326" s="8"/>
      <c r="BU326" s="8"/>
      <c r="BV326" s="8"/>
      <c r="BW326" s="8"/>
      <c r="BX326" s="8"/>
      <c r="BY326" s="8"/>
      <c r="BZ326" s="8"/>
      <c r="CA326" s="8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</row>
    <row r="327" spans="2:183" s="76" customFormat="1" ht="12" customHeight="1">
      <c r="B327" s="8"/>
      <c r="C327" s="8"/>
      <c r="D327" s="75"/>
      <c r="E327" s="75"/>
      <c r="F327" s="75"/>
      <c r="G327" s="75"/>
      <c r="H327" s="75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6"/>
      <c r="AQ327" s="179"/>
      <c r="AR327" s="180"/>
      <c r="AS327" s="180"/>
      <c r="AT327" s="180"/>
      <c r="AU327" s="180"/>
      <c r="AV327" s="183">
        <v>6.4599999999999902</v>
      </c>
      <c r="AW327" s="185">
        <f t="shared" si="30"/>
        <v>7.4763488579398102E-2</v>
      </c>
      <c r="AX327" s="201">
        <f t="shared" si="28"/>
        <v>7.4763488579398102E-2</v>
      </c>
      <c r="AY327" s="187">
        <v>3.23</v>
      </c>
      <c r="AZ327" s="189">
        <f t="shared" si="31"/>
        <v>0.26568187252583758</v>
      </c>
      <c r="BA327" s="202">
        <f t="shared" si="29"/>
        <v>0.26568187252583758</v>
      </c>
      <c r="BB327" s="202">
        <f t="shared" si="27"/>
        <v>1.3</v>
      </c>
      <c r="BC327" s="181"/>
      <c r="BD327" s="6"/>
      <c r="BF327" s="6"/>
      <c r="BH327" s="6"/>
      <c r="BJ327" s="6"/>
      <c r="BL327" s="6"/>
      <c r="BM327" s="6"/>
      <c r="BN327" s="6"/>
      <c r="BS327" s="8"/>
      <c r="BU327" s="8"/>
      <c r="BV327" s="8"/>
      <c r="BW327" s="8"/>
      <c r="BX327" s="8"/>
      <c r="BY327" s="8"/>
      <c r="BZ327" s="8"/>
      <c r="CA327" s="8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</row>
    <row r="328" spans="2:183" s="76" customFormat="1" ht="12" customHeight="1">
      <c r="B328" s="8"/>
      <c r="C328" s="8"/>
      <c r="D328" s="75"/>
      <c r="E328" s="75"/>
      <c r="F328" s="75"/>
      <c r="G328" s="75"/>
      <c r="H328" s="75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6"/>
      <c r="AQ328" s="179"/>
      <c r="AR328" s="180"/>
      <c r="AS328" s="180"/>
      <c r="AT328" s="180"/>
      <c r="AU328" s="180"/>
      <c r="AV328" s="183">
        <v>6.4799999999999898</v>
      </c>
      <c r="AW328" s="185">
        <f t="shared" si="30"/>
        <v>7.4302697759488126E-2</v>
      </c>
      <c r="AX328" s="201">
        <f t="shared" si="28"/>
        <v>7.4302697759488126E-2</v>
      </c>
      <c r="AY328" s="187">
        <v>3.24</v>
      </c>
      <c r="AZ328" s="189">
        <f t="shared" si="31"/>
        <v>0.26568187252583758</v>
      </c>
      <c r="BA328" s="202">
        <f t="shared" si="29"/>
        <v>0.26568187252583758</v>
      </c>
      <c r="BB328" s="202">
        <f t="shared" si="27"/>
        <v>1.3</v>
      </c>
      <c r="BC328" s="181"/>
      <c r="BD328" s="6"/>
      <c r="BF328" s="6"/>
      <c r="BH328" s="6"/>
      <c r="BJ328" s="6"/>
      <c r="BL328" s="6"/>
      <c r="BM328" s="6"/>
      <c r="BN328" s="6"/>
      <c r="BS328" s="8"/>
      <c r="BU328" s="8"/>
      <c r="BV328" s="8"/>
      <c r="BW328" s="8"/>
      <c r="BX328" s="8"/>
      <c r="BY328" s="8"/>
      <c r="BZ328" s="8"/>
      <c r="CA328" s="8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</row>
    <row r="329" spans="2:183" s="76" customFormat="1" ht="12" customHeight="1">
      <c r="B329" s="8"/>
      <c r="C329" s="8"/>
      <c r="D329" s="75"/>
      <c r="E329" s="75"/>
      <c r="F329" s="75"/>
      <c r="G329" s="75"/>
      <c r="H329" s="75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6"/>
      <c r="AQ329" s="179"/>
      <c r="AR329" s="180"/>
      <c r="AS329" s="180"/>
      <c r="AT329" s="180"/>
      <c r="AU329" s="180"/>
      <c r="AV329" s="183">
        <v>6.4999999999999902</v>
      </c>
      <c r="AW329" s="185">
        <f t="shared" si="30"/>
        <v>7.3846153846154075E-2</v>
      </c>
      <c r="AX329" s="201">
        <f t="shared" si="28"/>
        <v>7.3846153846154075E-2</v>
      </c>
      <c r="AY329" s="187">
        <v>3.25</v>
      </c>
      <c r="AZ329" s="189">
        <f t="shared" si="31"/>
        <v>0.26568187252583758</v>
      </c>
      <c r="BA329" s="202">
        <f t="shared" si="29"/>
        <v>0.26568187252583758</v>
      </c>
      <c r="BB329" s="202">
        <f t="shared" si="27"/>
        <v>1.3</v>
      </c>
      <c r="BC329" s="181"/>
      <c r="BD329" s="6"/>
      <c r="BF329" s="6"/>
      <c r="BH329" s="6"/>
      <c r="BJ329" s="6"/>
      <c r="BL329" s="6"/>
      <c r="BM329" s="6"/>
      <c r="BN329" s="6"/>
      <c r="BS329" s="8"/>
      <c r="BU329" s="8"/>
      <c r="BV329" s="8"/>
      <c r="BW329" s="8"/>
      <c r="BX329" s="8"/>
      <c r="BY329" s="8"/>
      <c r="BZ329" s="8"/>
      <c r="CA329" s="8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</row>
    <row r="330" spans="2:183" s="76" customFormat="1" ht="12" customHeight="1">
      <c r="B330" s="8"/>
      <c r="C330" s="8"/>
      <c r="D330" s="75"/>
      <c r="E330" s="75"/>
      <c r="F330" s="75"/>
      <c r="G330" s="75"/>
      <c r="H330" s="75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6"/>
      <c r="AQ330" s="179"/>
      <c r="AR330" s="180"/>
      <c r="AS330" s="180"/>
      <c r="AT330" s="180"/>
      <c r="AU330" s="180"/>
      <c r="AV330" s="183">
        <v>6.5199999999999898</v>
      </c>
      <c r="AW330" s="185">
        <f t="shared" si="30"/>
        <v>7.3393804810117286E-2</v>
      </c>
      <c r="AX330" s="201">
        <f t="shared" si="28"/>
        <v>7.3393804810117286E-2</v>
      </c>
      <c r="AY330" s="187">
        <v>3.26</v>
      </c>
      <c r="AZ330" s="189">
        <f t="shared" si="31"/>
        <v>0.26568187252583758</v>
      </c>
      <c r="BA330" s="202">
        <f t="shared" si="29"/>
        <v>0.26568187252583758</v>
      </c>
      <c r="BB330" s="202">
        <f t="shared" si="27"/>
        <v>1.3</v>
      </c>
      <c r="BC330" s="181"/>
      <c r="BD330" s="6"/>
      <c r="BF330" s="6"/>
      <c r="BH330" s="6"/>
      <c r="BJ330" s="6"/>
      <c r="BL330" s="6"/>
      <c r="BM330" s="6"/>
      <c r="BN330" s="6"/>
      <c r="BS330" s="8"/>
      <c r="BU330" s="8"/>
      <c r="BV330" s="8"/>
      <c r="BW330" s="8"/>
      <c r="BX330" s="8"/>
      <c r="BY330" s="8"/>
      <c r="BZ330" s="8"/>
      <c r="CA330" s="8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</row>
    <row r="331" spans="2:183" s="76" customFormat="1" ht="12" customHeight="1">
      <c r="B331" s="8"/>
      <c r="C331" s="8"/>
      <c r="D331" s="75"/>
      <c r="E331" s="75"/>
      <c r="F331" s="75"/>
      <c r="G331" s="75"/>
      <c r="H331" s="75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6"/>
      <c r="AQ331" s="179"/>
      <c r="AR331" s="180"/>
      <c r="AS331" s="180"/>
      <c r="AT331" s="180"/>
      <c r="AU331" s="180"/>
      <c r="AV331" s="183">
        <v>6.5399999999999903</v>
      </c>
      <c r="AW331" s="185">
        <f t="shared" si="30"/>
        <v>7.2945599416435428E-2</v>
      </c>
      <c r="AX331" s="201">
        <f t="shared" si="28"/>
        <v>7.2945599416435428E-2</v>
      </c>
      <c r="AY331" s="187">
        <v>3.27</v>
      </c>
      <c r="AZ331" s="189">
        <f t="shared" si="31"/>
        <v>0.26568187252583758</v>
      </c>
      <c r="BA331" s="202">
        <f t="shared" si="29"/>
        <v>0.26568187252583758</v>
      </c>
      <c r="BB331" s="202">
        <f t="shared" si="27"/>
        <v>1.3</v>
      </c>
      <c r="BC331" s="181"/>
      <c r="BD331" s="6"/>
      <c r="BF331" s="6"/>
      <c r="BH331" s="6"/>
      <c r="BJ331" s="6"/>
      <c r="BL331" s="6"/>
      <c r="BM331" s="6"/>
      <c r="BN331" s="6"/>
      <c r="BS331" s="8"/>
      <c r="BU331" s="8"/>
      <c r="BV331" s="8"/>
      <c r="BW331" s="8"/>
      <c r="BX331" s="8"/>
      <c r="BY331" s="8"/>
      <c r="BZ331" s="8"/>
      <c r="CA331" s="8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</row>
    <row r="332" spans="2:183" s="76" customFormat="1" ht="12" customHeight="1">
      <c r="B332" s="8"/>
      <c r="C332" s="8"/>
      <c r="D332" s="75"/>
      <c r="E332" s="75"/>
      <c r="F332" s="75"/>
      <c r="G332" s="75"/>
      <c r="H332" s="75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6"/>
      <c r="AQ332" s="179"/>
      <c r="AR332" s="180"/>
      <c r="AS332" s="180"/>
      <c r="AT332" s="180"/>
      <c r="AU332" s="180"/>
      <c r="AV332" s="183">
        <v>6.5599999999999898</v>
      </c>
      <c r="AW332" s="185">
        <f t="shared" si="30"/>
        <v>7.2501487209994275E-2</v>
      </c>
      <c r="AX332" s="201">
        <f t="shared" si="28"/>
        <v>7.2501487209994275E-2</v>
      </c>
      <c r="AY332" s="187">
        <v>3.28</v>
      </c>
      <c r="AZ332" s="189">
        <f t="shared" si="31"/>
        <v>0.26568187252583758</v>
      </c>
      <c r="BA332" s="202">
        <f t="shared" si="29"/>
        <v>0.26568187252583758</v>
      </c>
      <c r="BB332" s="202">
        <f t="shared" si="27"/>
        <v>1.3</v>
      </c>
      <c r="BC332" s="181"/>
      <c r="BD332" s="6"/>
      <c r="BF332" s="6"/>
      <c r="BH332" s="6"/>
      <c r="BJ332" s="6"/>
      <c r="BL332" s="6"/>
      <c r="BM332" s="6"/>
      <c r="BN332" s="6"/>
      <c r="BS332" s="8"/>
      <c r="BU332" s="8"/>
      <c r="BV332" s="8"/>
      <c r="BW332" s="8"/>
      <c r="BX332" s="8"/>
      <c r="BY332" s="8"/>
      <c r="BZ332" s="8"/>
      <c r="CA332" s="8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</row>
    <row r="333" spans="2:183" s="76" customFormat="1" ht="12" customHeight="1">
      <c r="B333" s="8"/>
      <c r="C333" s="8"/>
      <c r="D333" s="75"/>
      <c r="E333" s="75"/>
      <c r="F333" s="75"/>
      <c r="G333" s="75"/>
      <c r="H333" s="75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6"/>
      <c r="AQ333" s="179"/>
      <c r="AR333" s="180"/>
      <c r="AS333" s="180"/>
      <c r="AT333" s="180"/>
      <c r="AU333" s="180"/>
      <c r="AV333" s="183">
        <v>6.5799999999999903</v>
      </c>
      <c r="AW333" s="185">
        <f t="shared" si="30"/>
        <v>7.2061418501307484E-2</v>
      </c>
      <c r="AX333" s="201">
        <f t="shared" si="28"/>
        <v>7.2061418501307484E-2</v>
      </c>
      <c r="AY333" s="187">
        <v>3.29</v>
      </c>
      <c r="AZ333" s="189">
        <f t="shared" si="31"/>
        <v>0.26568187252583758</v>
      </c>
      <c r="BA333" s="202">
        <f t="shared" si="29"/>
        <v>0.26568187252583758</v>
      </c>
      <c r="BB333" s="202">
        <f t="shared" si="27"/>
        <v>1.3</v>
      </c>
      <c r="BC333" s="181"/>
      <c r="BD333" s="6"/>
      <c r="BF333" s="6"/>
      <c r="BH333" s="6"/>
      <c r="BJ333" s="6"/>
      <c r="BL333" s="6"/>
      <c r="BM333" s="6"/>
      <c r="BN333" s="6"/>
      <c r="BS333" s="8"/>
      <c r="BU333" s="8"/>
      <c r="BV333" s="8"/>
      <c r="BW333" s="8"/>
      <c r="BX333" s="8"/>
      <c r="BY333" s="8"/>
      <c r="BZ333" s="8"/>
      <c r="CA333" s="8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</row>
    <row r="334" spans="2:183" s="76" customFormat="1" ht="12" customHeight="1">
      <c r="B334" s="8"/>
      <c r="C334" s="8"/>
      <c r="D334" s="75"/>
      <c r="E334" s="75"/>
      <c r="F334" s="75"/>
      <c r="G334" s="75"/>
      <c r="H334" s="75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6"/>
      <c r="AQ334" s="179"/>
      <c r="AR334" s="180"/>
      <c r="AS334" s="180"/>
      <c r="AT334" s="180"/>
      <c r="AU334" s="180"/>
      <c r="AV334" s="183">
        <v>6.5999999999999899</v>
      </c>
      <c r="AW334" s="185">
        <f t="shared" si="30"/>
        <v>7.1625344352617304E-2</v>
      </c>
      <c r="AX334" s="201">
        <f t="shared" si="28"/>
        <v>7.1625344352617304E-2</v>
      </c>
      <c r="AY334" s="187">
        <v>3.3</v>
      </c>
      <c r="AZ334" s="189">
        <f t="shared" si="31"/>
        <v>0.26568187252583758</v>
      </c>
      <c r="BA334" s="202">
        <f t="shared" si="29"/>
        <v>0.26568187252583758</v>
      </c>
      <c r="BB334" s="202">
        <f t="shared" si="27"/>
        <v>1.3</v>
      </c>
      <c r="BC334" s="181"/>
      <c r="BD334" s="6"/>
      <c r="BF334" s="6"/>
      <c r="BH334" s="6"/>
      <c r="BJ334" s="6"/>
      <c r="BL334" s="6"/>
      <c r="BM334" s="6"/>
      <c r="BN334" s="6"/>
      <c r="BS334" s="8"/>
      <c r="BU334" s="8"/>
      <c r="BV334" s="8"/>
      <c r="BW334" s="8"/>
      <c r="BX334" s="8"/>
      <c r="BY334" s="8"/>
      <c r="BZ334" s="8"/>
      <c r="CA334" s="8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</row>
    <row r="335" spans="2:183" s="76" customFormat="1" ht="12" customHeight="1">
      <c r="B335" s="8"/>
      <c r="C335" s="8"/>
      <c r="D335" s="75"/>
      <c r="E335" s="75"/>
      <c r="F335" s="75"/>
      <c r="G335" s="75"/>
      <c r="H335" s="75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6"/>
      <c r="AQ335" s="179"/>
      <c r="AR335" s="180"/>
      <c r="AS335" s="180"/>
      <c r="AT335" s="180"/>
      <c r="AU335" s="180"/>
      <c r="AV335" s="183">
        <v>6.6199999999999903</v>
      </c>
      <c r="AW335" s="185">
        <f t="shared" si="30"/>
        <v>7.1193216564288606E-2</v>
      </c>
      <c r="AX335" s="201">
        <f t="shared" si="28"/>
        <v>7.1193216564288606E-2</v>
      </c>
      <c r="AY335" s="187">
        <v>3.31</v>
      </c>
      <c r="AZ335" s="189">
        <f t="shared" si="31"/>
        <v>0.26568187252583758</v>
      </c>
      <c r="BA335" s="202">
        <f t="shared" si="29"/>
        <v>0.26568187252583758</v>
      </c>
      <c r="BB335" s="202">
        <f t="shared" si="27"/>
        <v>1.3</v>
      </c>
      <c r="BC335" s="181"/>
      <c r="BD335" s="6"/>
      <c r="BF335" s="6"/>
      <c r="BH335" s="6"/>
      <c r="BJ335" s="6"/>
      <c r="BL335" s="6"/>
      <c r="BM335" s="6"/>
      <c r="BN335" s="6"/>
      <c r="BS335" s="8"/>
      <c r="BU335" s="8"/>
      <c r="BV335" s="8"/>
      <c r="BW335" s="8"/>
      <c r="BX335" s="8"/>
      <c r="BY335" s="8"/>
      <c r="BZ335" s="8"/>
      <c r="CA335" s="8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</row>
    <row r="336" spans="2:183" s="76" customFormat="1" ht="12" customHeight="1">
      <c r="B336" s="8"/>
      <c r="C336" s="8"/>
      <c r="D336" s="75"/>
      <c r="E336" s="75"/>
      <c r="F336" s="75"/>
      <c r="G336" s="75"/>
      <c r="H336" s="75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6"/>
      <c r="AQ336" s="179"/>
      <c r="AR336" s="180"/>
      <c r="AS336" s="180"/>
      <c r="AT336" s="180"/>
      <c r="AU336" s="180"/>
      <c r="AV336" s="183">
        <v>6.6399999999999899</v>
      </c>
      <c r="AW336" s="185">
        <f t="shared" si="30"/>
        <v>7.0764987661489545E-2</v>
      </c>
      <c r="AX336" s="201">
        <f t="shared" si="28"/>
        <v>7.0764987661489545E-2</v>
      </c>
      <c r="AY336" s="187">
        <v>3.32</v>
      </c>
      <c r="AZ336" s="189">
        <f t="shared" si="31"/>
        <v>0.26568187252583758</v>
      </c>
      <c r="BA336" s="202">
        <f t="shared" si="29"/>
        <v>0.26568187252583758</v>
      </c>
      <c r="BB336" s="202">
        <f t="shared" si="27"/>
        <v>1.3</v>
      </c>
      <c r="BC336" s="181"/>
      <c r="BD336" s="6"/>
      <c r="BF336" s="6"/>
      <c r="BH336" s="6"/>
      <c r="BJ336" s="6"/>
      <c r="BL336" s="6"/>
      <c r="BM336" s="6"/>
      <c r="BN336" s="6"/>
      <c r="BS336" s="8"/>
      <c r="BU336" s="8"/>
      <c r="BV336" s="8"/>
      <c r="BW336" s="8"/>
      <c r="BX336" s="8"/>
      <c r="BY336" s="8"/>
      <c r="BZ336" s="8"/>
      <c r="CA336" s="8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</row>
    <row r="337" spans="2:183" s="76" customFormat="1" ht="12" customHeight="1">
      <c r="B337" s="8"/>
      <c r="C337" s="8"/>
      <c r="D337" s="75"/>
      <c r="E337" s="75"/>
      <c r="F337" s="75"/>
      <c r="G337" s="75"/>
      <c r="H337" s="75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6"/>
      <c r="AQ337" s="179"/>
      <c r="AR337" s="180"/>
      <c r="AS337" s="180"/>
      <c r="AT337" s="180"/>
      <c r="AU337" s="180"/>
      <c r="AV337" s="183">
        <v>6.6599999999999797</v>
      </c>
      <c r="AW337" s="185">
        <f t="shared" si="30"/>
        <v>7.0340610881151844E-2</v>
      </c>
      <c r="AX337" s="201">
        <f t="shared" si="28"/>
        <v>7.0340610881151844E-2</v>
      </c>
      <c r="AY337" s="187">
        <v>3.33</v>
      </c>
      <c r="AZ337" s="189">
        <f t="shared" si="31"/>
        <v>0.26568187252583758</v>
      </c>
      <c r="BA337" s="202">
        <f t="shared" si="29"/>
        <v>0.26568187252583758</v>
      </c>
      <c r="BB337" s="202">
        <f t="shared" si="27"/>
        <v>1.3</v>
      </c>
      <c r="BC337" s="181"/>
      <c r="BD337" s="6"/>
      <c r="BF337" s="6"/>
      <c r="BH337" s="6"/>
      <c r="BJ337" s="6"/>
      <c r="BL337" s="6"/>
      <c r="BM337" s="6"/>
      <c r="BN337" s="6"/>
      <c r="BS337" s="8"/>
      <c r="BU337" s="8"/>
      <c r="BV337" s="8"/>
      <c r="BW337" s="8"/>
      <c r="BX337" s="8"/>
      <c r="BY337" s="8"/>
      <c r="BZ337" s="8"/>
      <c r="CA337" s="8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</row>
    <row r="338" spans="2:183" s="76" customFormat="1" ht="12" customHeight="1">
      <c r="B338" s="8"/>
      <c r="C338" s="8"/>
      <c r="D338" s="75"/>
      <c r="E338" s="75"/>
      <c r="F338" s="75"/>
      <c r="G338" s="75"/>
      <c r="H338" s="75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6"/>
      <c r="AQ338" s="179"/>
      <c r="AR338" s="180"/>
      <c r="AS338" s="180"/>
      <c r="AT338" s="180"/>
      <c r="AU338" s="180"/>
      <c r="AV338" s="183">
        <v>6.6799999999999802</v>
      </c>
      <c r="AW338" s="185">
        <f t="shared" si="30"/>
        <v>6.9920040159202973E-2</v>
      </c>
      <c r="AX338" s="201">
        <f t="shared" si="28"/>
        <v>6.9920040159202973E-2</v>
      </c>
      <c r="AY338" s="187">
        <v>3.34</v>
      </c>
      <c r="AZ338" s="189">
        <f t="shared" si="31"/>
        <v>0.26568187252583758</v>
      </c>
      <c r="BA338" s="202">
        <f t="shared" si="29"/>
        <v>0.26568187252583758</v>
      </c>
      <c r="BB338" s="202">
        <f t="shared" si="27"/>
        <v>1.3</v>
      </c>
      <c r="BC338" s="181"/>
      <c r="BD338" s="6"/>
      <c r="BF338" s="6"/>
      <c r="BH338" s="6"/>
      <c r="BJ338" s="6"/>
      <c r="BL338" s="6"/>
      <c r="BM338" s="6"/>
      <c r="BN338" s="6"/>
      <c r="BS338" s="8"/>
      <c r="BU338" s="8"/>
      <c r="BV338" s="8"/>
      <c r="BW338" s="8"/>
      <c r="BX338" s="8"/>
      <c r="BY338" s="8"/>
      <c r="BZ338" s="8"/>
      <c r="CA338" s="8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</row>
    <row r="339" spans="2:183" s="76" customFormat="1" ht="12" customHeight="1">
      <c r="B339" s="8"/>
      <c r="C339" s="8"/>
      <c r="D339" s="75"/>
      <c r="E339" s="75"/>
      <c r="F339" s="75"/>
      <c r="G339" s="75"/>
      <c r="H339" s="75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6"/>
      <c r="AQ339" s="179"/>
      <c r="AR339" s="180"/>
      <c r="AS339" s="180"/>
      <c r="AT339" s="180"/>
      <c r="AU339" s="180"/>
      <c r="AV339" s="183">
        <v>6.6999999999999797</v>
      </c>
      <c r="AW339" s="185">
        <f t="shared" si="30"/>
        <v>6.9503230118066806E-2</v>
      </c>
      <c r="AX339" s="201">
        <f t="shared" si="28"/>
        <v>6.9503230118066806E-2</v>
      </c>
      <c r="AY339" s="187">
        <v>3.35</v>
      </c>
      <c r="AZ339" s="189">
        <f t="shared" si="31"/>
        <v>0.26568187252583758</v>
      </c>
      <c r="BA339" s="202">
        <f t="shared" si="29"/>
        <v>0.26568187252583758</v>
      </c>
      <c r="BB339" s="202">
        <f t="shared" si="27"/>
        <v>1.3</v>
      </c>
      <c r="BC339" s="181"/>
      <c r="BD339" s="6"/>
      <c r="BF339" s="6"/>
      <c r="BH339" s="6"/>
      <c r="BJ339" s="6"/>
      <c r="BL339" s="6"/>
      <c r="BM339" s="6"/>
      <c r="BN339" s="6"/>
      <c r="BS339" s="8"/>
      <c r="BU339" s="8"/>
      <c r="BV339" s="8"/>
      <c r="BW339" s="8"/>
      <c r="BX339" s="8"/>
      <c r="BY339" s="8"/>
      <c r="BZ339" s="8"/>
      <c r="CA339" s="8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</row>
    <row r="340" spans="2:183" s="76" customFormat="1" ht="12" customHeight="1">
      <c r="B340" s="8"/>
      <c r="C340" s="8"/>
      <c r="D340" s="75"/>
      <c r="E340" s="75"/>
      <c r="F340" s="75"/>
      <c r="G340" s="75"/>
      <c r="H340" s="75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6"/>
      <c r="AQ340" s="179"/>
      <c r="AR340" s="180"/>
      <c r="AS340" s="180"/>
      <c r="AT340" s="180"/>
      <c r="AU340" s="180"/>
      <c r="AV340" s="183">
        <v>6.7199999999999802</v>
      </c>
      <c r="AW340" s="185">
        <f t="shared" si="30"/>
        <v>6.9090136054422172E-2</v>
      </c>
      <c r="AX340" s="201">
        <f t="shared" si="28"/>
        <v>6.9090136054422172E-2</v>
      </c>
      <c r="AY340" s="187">
        <v>3.36</v>
      </c>
      <c r="AZ340" s="189">
        <f t="shared" si="31"/>
        <v>0.26568187252583758</v>
      </c>
      <c r="BA340" s="202">
        <f t="shared" si="29"/>
        <v>0.26568187252583758</v>
      </c>
      <c r="BB340" s="202">
        <f t="shared" si="27"/>
        <v>1.3</v>
      </c>
      <c r="BC340" s="181"/>
      <c r="BD340" s="6"/>
      <c r="BF340" s="6"/>
      <c r="BH340" s="6"/>
      <c r="BJ340" s="6"/>
      <c r="BL340" s="6"/>
      <c r="BM340" s="6"/>
      <c r="BN340" s="6"/>
      <c r="BS340" s="8"/>
      <c r="BU340" s="8"/>
      <c r="BV340" s="8"/>
      <c r="BW340" s="8"/>
      <c r="BX340" s="8"/>
      <c r="BY340" s="8"/>
      <c r="BZ340" s="8"/>
      <c r="CA340" s="8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</row>
    <row r="341" spans="2:183" s="76" customFormat="1" ht="12" customHeight="1">
      <c r="B341" s="8"/>
      <c r="C341" s="8"/>
      <c r="D341" s="75"/>
      <c r="E341" s="75"/>
      <c r="F341" s="75"/>
      <c r="G341" s="75"/>
      <c r="H341" s="75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6"/>
      <c r="AQ341" s="179"/>
      <c r="AR341" s="180"/>
      <c r="AS341" s="180"/>
      <c r="AT341" s="180"/>
      <c r="AU341" s="180"/>
      <c r="AV341" s="183">
        <v>6.7399999999999798</v>
      </c>
      <c r="AW341" s="185">
        <f t="shared" si="30"/>
        <v>6.8680713927216461E-2</v>
      </c>
      <c r="AX341" s="201">
        <f t="shared" si="28"/>
        <v>6.8680713927216461E-2</v>
      </c>
      <c r="AY341" s="187">
        <v>3.37</v>
      </c>
      <c r="AZ341" s="189">
        <f t="shared" si="31"/>
        <v>0.26568187252583758</v>
      </c>
      <c r="BA341" s="202">
        <f t="shared" si="29"/>
        <v>0.26568187252583758</v>
      </c>
      <c r="BB341" s="202">
        <f t="shared" si="27"/>
        <v>1.3</v>
      </c>
      <c r="BC341" s="181"/>
      <c r="BD341" s="6"/>
      <c r="BF341" s="6"/>
      <c r="BH341" s="6"/>
      <c r="BJ341" s="6"/>
      <c r="BL341" s="6"/>
      <c r="BM341" s="6"/>
      <c r="BN341" s="6"/>
      <c r="BS341" s="8"/>
      <c r="BU341" s="8"/>
      <c r="BV341" s="8"/>
      <c r="BW341" s="8"/>
      <c r="BX341" s="8"/>
      <c r="BY341" s="8"/>
      <c r="BZ341" s="8"/>
      <c r="CA341" s="8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</row>
    <row r="342" spans="2:183" s="76" customFormat="1" ht="12" customHeight="1">
      <c r="B342" s="8"/>
      <c r="C342" s="8"/>
      <c r="D342" s="75"/>
      <c r="E342" s="75"/>
      <c r="F342" s="75"/>
      <c r="G342" s="75"/>
      <c r="H342" s="75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6"/>
      <c r="AQ342" s="179"/>
      <c r="AR342" s="180"/>
      <c r="AS342" s="180"/>
      <c r="AT342" s="180"/>
      <c r="AU342" s="180"/>
      <c r="AV342" s="183">
        <v>6.7599999999999802</v>
      </c>
      <c r="AW342" s="185">
        <f t="shared" si="30"/>
        <v>6.8274920345926665E-2</v>
      </c>
      <c r="AX342" s="201">
        <f t="shared" si="28"/>
        <v>6.8274920345926665E-2</v>
      </c>
      <c r="AY342" s="187">
        <v>3.38</v>
      </c>
      <c r="AZ342" s="189">
        <f t="shared" si="31"/>
        <v>0.26568187252583758</v>
      </c>
      <c r="BA342" s="202">
        <f t="shared" si="29"/>
        <v>0.26568187252583758</v>
      </c>
      <c r="BB342" s="202">
        <f t="shared" si="27"/>
        <v>1.3</v>
      </c>
      <c r="BC342" s="181"/>
      <c r="BD342" s="6"/>
      <c r="BF342" s="6"/>
      <c r="BH342" s="6"/>
      <c r="BJ342" s="6"/>
      <c r="BL342" s="6"/>
      <c r="BM342" s="6"/>
      <c r="BN342" s="6"/>
      <c r="BS342" s="8"/>
      <c r="BU342" s="8"/>
      <c r="BV342" s="8"/>
      <c r="BW342" s="8"/>
      <c r="BX342" s="8"/>
      <c r="BY342" s="8"/>
      <c r="BZ342" s="8"/>
      <c r="CA342" s="8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</row>
    <row r="343" spans="2:183" s="76" customFormat="1" ht="12" customHeight="1">
      <c r="B343" s="8"/>
      <c r="C343" s="8"/>
      <c r="D343" s="75"/>
      <c r="E343" s="75"/>
      <c r="F343" s="75"/>
      <c r="G343" s="75"/>
      <c r="H343" s="75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6"/>
      <c r="AQ343" s="179"/>
      <c r="AR343" s="180"/>
      <c r="AS343" s="180"/>
      <c r="AT343" s="180"/>
      <c r="AU343" s="180"/>
      <c r="AV343" s="183">
        <v>6.7799999999999798</v>
      </c>
      <c r="AW343" s="185">
        <f t="shared" si="30"/>
        <v>6.7872712559062714E-2</v>
      </c>
      <c r="AX343" s="201">
        <f t="shared" si="28"/>
        <v>6.7872712559062714E-2</v>
      </c>
      <c r="AY343" s="187">
        <v>3.39</v>
      </c>
      <c r="AZ343" s="189">
        <f t="shared" si="31"/>
        <v>0.26568187252583758</v>
      </c>
      <c r="BA343" s="202">
        <f t="shared" si="29"/>
        <v>0.26568187252583758</v>
      </c>
      <c r="BB343" s="202">
        <f t="shared" si="27"/>
        <v>1.3</v>
      </c>
      <c r="BC343" s="181"/>
      <c r="BD343" s="6"/>
      <c r="BF343" s="6"/>
      <c r="BH343" s="6"/>
      <c r="BJ343" s="6"/>
      <c r="BL343" s="6"/>
      <c r="BM343" s="6"/>
      <c r="BN343" s="6"/>
      <c r="BS343" s="8"/>
      <c r="BU343" s="8"/>
      <c r="BV343" s="8"/>
      <c r="BW343" s="8"/>
      <c r="BX343" s="8"/>
      <c r="BY343" s="8"/>
      <c r="BZ343" s="8"/>
      <c r="CA343" s="8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</row>
    <row r="344" spans="2:183" s="76" customFormat="1" ht="12" customHeight="1">
      <c r="B344" s="8"/>
      <c r="C344" s="8"/>
      <c r="D344" s="75"/>
      <c r="E344" s="75"/>
      <c r="F344" s="75"/>
      <c r="G344" s="75"/>
      <c r="H344" s="75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6"/>
      <c r="AQ344" s="179"/>
      <c r="AR344" s="180"/>
      <c r="AS344" s="180"/>
      <c r="AT344" s="180"/>
      <c r="AU344" s="180"/>
      <c r="AV344" s="183">
        <v>6.7999999999999803</v>
      </c>
      <c r="AW344" s="185">
        <f t="shared" si="30"/>
        <v>6.747404844290697E-2</v>
      </c>
      <c r="AX344" s="201">
        <f t="shared" si="28"/>
        <v>6.747404844290697E-2</v>
      </c>
      <c r="AY344" s="187">
        <v>3.4</v>
      </c>
      <c r="AZ344" s="189">
        <f t="shared" si="31"/>
        <v>0.26568187252583758</v>
      </c>
      <c r="BA344" s="202">
        <f t="shared" si="29"/>
        <v>0.26568187252583758</v>
      </c>
      <c r="BB344" s="202">
        <f t="shared" si="27"/>
        <v>1.3</v>
      </c>
      <c r="BC344" s="181"/>
      <c r="BD344" s="6"/>
      <c r="BF344" s="6"/>
      <c r="BH344" s="6"/>
      <c r="BJ344" s="6"/>
      <c r="BL344" s="6"/>
      <c r="BM344" s="6"/>
      <c r="BN344" s="6"/>
      <c r="BS344" s="8"/>
      <c r="BU344" s="8"/>
      <c r="BV344" s="8"/>
      <c r="BW344" s="8"/>
      <c r="BX344" s="8"/>
      <c r="BY344" s="8"/>
      <c r="BZ344" s="8"/>
      <c r="CA344" s="8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</row>
    <row r="345" spans="2:183" s="76" customFormat="1" ht="12" customHeight="1">
      <c r="B345" s="8"/>
      <c r="C345" s="8"/>
      <c r="D345" s="75"/>
      <c r="E345" s="75"/>
      <c r="F345" s="75"/>
      <c r="G345" s="75"/>
      <c r="H345" s="75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6"/>
      <c r="AQ345" s="179"/>
      <c r="AR345" s="180"/>
      <c r="AS345" s="180"/>
      <c r="AT345" s="180"/>
      <c r="AU345" s="180"/>
      <c r="AV345" s="183">
        <v>6.8199999999999799</v>
      </c>
      <c r="AW345" s="185">
        <f t="shared" si="30"/>
        <v>6.7078886490484657E-2</v>
      </c>
      <c r="AX345" s="201">
        <f t="shared" si="28"/>
        <v>6.7078886490484657E-2</v>
      </c>
      <c r="AY345" s="187">
        <v>3.41</v>
      </c>
      <c r="AZ345" s="189">
        <f t="shared" si="31"/>
        <v>0.26568187252583758</v>
      </c>
      <c r="BA345" s="202">
        <f t="shared" si="29"/>
        <v>0.26568187252583758</v>
      </c>
      <c r="BB345" s="202">
        <f t="shared" si="27"/>
        <v>1.3</v>
      </c>
      <c r="BC345" s="181"/>
      <c r="BD345" s="6"/>
      <c r="BF345" s="6"/>
      <c r="BH345" s="6"/>
      <c r="BJ345" s="6"/>
      <c r="BL345" s="6"/>
      <c r="BM345" s="6"/>
      <c r="BN345" s="6"/>
      <c r="BS345" s="8"/>
      <c r="BU345" s="8"/>
      <c r="BV345" s="8"/>
      <c r="BW345" s="8"/>
      <c r="BX345" s="8"/>
      <c r="BY345" s="8"/>
      <c r="BZ345" s="8"/>
      <c r="CA345" s="8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</row>
    <row r="346" spans="2:183" s="76" customFormat="1" ht="12" customHeight="1">
      <c r="B346" s="8"/>
      <c r="C346" s="8"/>
      <c r="D346" s="75"/>
      <c r="E346" s="75"/>
      <c r="F346" s="75"/>
      <c r="G346" s="75"/>
      <c r="H346" s="75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6"/>
      <c r="AQ346" s="179"/>
      <c r="AR346" s="180"/>
      <c r="AS346" s="180"/>
      <c r="AT346" s="180"/>
      <c r="AU346" s="180"/>
      <c r="AV346" s="183">
        <v>6.8399999999999803</v>
      </c>
      <c r="AW346" s="185">
        <f t="shared" si="30"/>
        <v>6.6687185800759594E-2</v>
      </c>
      <c r="AX346" s="201">
        <f t="shared" si="28"/>
        <v>6.6687185800759594E-2</v>
      </c>
      <c r="AY346" s="187">
        <v>3.42</v>
      </c>
      <c r="AZ346" s="189">
        <f t="shared" si="31"/>
        <v>0.26568187252583758</v>
      </c>
      <c r="BA346" s="202">
        <f t="shared" si="29"/>
        <v>0.26568187252583758</v>
      </c>
      <c r="BB346" s="202">
        <f t="shared" si="27"/>
        <v>1.3</v>
      </c>
      <c r="BC346" s="181"/>
      <c r="BD346" s="6"/>
      <c r="BF346" s="6"/>
      <c r="BH346" s="6"/>
      <c r="BJ346" s="6"/>
      <c r="BL346" s="6"/>
      <c r="BM346" s="6"/>
      <c r="BN346" s="6"/>
      <c r="BS346" s="8"/>
      <c r="BU346" s="8"/>
      <c r="BV346" s="8"/>
      <c r="BW346" s="8"/>
      <c r="BX346" s="8"/>
      <c r="BY346" s="8"/>
      <c r="BZ346" s="8"/>
      <c r="CA346" s="8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</row>
    <row r="347" spans="2:183" s="76" customFormat="1" ht="12" customHeight="1">
      <c r="B347" s="8"/>
      <c r="C347" s="8"/>
      <c r="D347" s="75"/>
      <c r="E347" s="75"/>
      <c r="F347" s="75"/>
      <c r="G347" s="75"/>
      <c r="H347" s="75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6"/>
      <c r="AQ347" s="179"/>
      <c r="AR347" s="180"/>
      <c r="AS347" s="180"/>
      <c r="AT347" s="180"/>
      <c r="AU347" s="180"/>
      <c r="AV347" s="183">
        <v>6.8599999999999799</v>
      </c>
      <c r="AW347" s="185">
        <f t="shared" si="30"/>
        <v>6.6298906068050265E-2</v>
      </c>
      <c r="AX347" s="201">
        <f t="shared" si="28"/>
        <v>6.6298906068050265E-2</v>
      </c>
      <c r="AY347" s="187">
        <v>3.43</v>
      </c>
      <c r="AZ347" s="189">
        <f t="shared" si="31"/>
        <v>0.26568187252583758</v>
      </c>
      <c r="BA347" s="202">
        <f t="shared" si="29"/>
        <v>0.26568187252583758</v>
      </c>
      <c r="BB347" s="202">
        <f t="shared" si="27"/>
        <v>1.3</v>
      </c>
      <c r="BC347" s="181"/>
      <c r="BD347" s="6"/>
      <c r="BF347" s="6"/>
      <c r="BH347" s="6"/>
      <c r="BJ347" s="6"/>
      <c r="BL347" s="6"/>
      <c r="BM347" s="6"/>
      <c r="BN347" s="6"/>
      <c r="BS347" s="8"/>
      <c r="BU347" s="8"/>
      <c r="BV347" s="8"/>
      <c r="BW347" s="8"/>
      <c r="BX347" s="8"/>
      <c r="BY347" s="8"/>
      <c r="BZ347" s="8"/>
      <c r="CA347" s="8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</row>
    <row r="348" spans="2:183" s="76" customFormat="1" ht="12" customHeight="1">
      <c r="B348" s="8"/>
      <c r="C348" s="8"/>
      <c r="D348" s="75"/>
      <c r="E348" s="75"/>
      <c r="F348" s="75"/>
      <c r="G348" s="75"/>
      <c r="H348" s="75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6"/>
      <c r="AQ348" s="179"/>
      <c r="AR348" s="180"/>
      <c r="AS348" s="180"/>
      <c r="AT348" s="180"/>
      <c r="AU348" s="180"/>
      <c r="AV348" s="183">
        <v>6.8799999999999804</v>
      </c>
      <c r="AW348" s="185">
        <f t="shared" si="30"/>
        <v>6.5914007571660729E-2</v>
      </c>
      <c r="AX348" s="201">
        <f t="shared" si="28"/>
        <v>6.5914007571660729E-2</v>
      </c>
      <c r="AY348" s="187">
        <v>3.44</v>
      </c>
      <c r="AZ348" s="189">
        <f t="shared" si="31"/>
        <v>0.26568187252583758</v>
      </c>
      <c r="BA348" s="202">
        <f t="shared" si="29"/>
        <v>0.26568187252583758</v>
      </c>
      <c r="BB348" s="202">
        <f t="shared" si="27"/>
        <v>1.3</v>
      </c>
      <c r="BC348" s="181"/>
      <c r="BD348" s="6"/>
      <c r="BF348" s="6"/>
      <c r="BH348" s="6"/>
      <c r="BJ348" s="6"/>
      <c r="BL348" s="6"/>
      <c r="BM348" s="6"/>
      <c r="BN348" s="6"/>
      <c r="BS348" s="8"/>
      <c r="BU348" s="8"/>
      <c r="BV348" s="8"/>
      <c r="BW348" s="8"/>
      <c r="BX348" s="8"/>
      <c r="BY348" s="8"/>
      <c r="BZ348" s="8"/>
      <c r="CA348" s="8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</row>
    <row r="349" spans="2:183" s="76" customFormat="1" ht="12" customHeight="1">
      <c r="B349" s="8"/>
      <c r="C349" s="8"/>
      <c r="D349" s="75"/>
      <c r="E349" s="75"/>
      <c r="F349" s="75"/>
      <c r="G349" s="75"/>
      <c r="H349" s="75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6"/>
      <c r="AQ349" s="179"/>
      <c r="AR349" s="180"/>
      <c r="AS349" s="180"/>
      <c r="AT349" s="180"/>
      <c r="AU349" s="180"/>
      <c r="AV349" s="183">
        <v>6.8999999999999799</v>
      </c>
      <c r="AW349" s="185">
        <f t="shared" si="30"/>
        <v>6.5532451165721872E-2</v>
      </c>
      <c r="AX349" s="201">
        <f t="shared" si="28"/>
        <v>6.5532451165721872E-2</v>
      </c>
      <c r="AY349" s="187">
        <v>3.45</v>
      </c>
      <c r="AZ349" s="189">
        <f t="shared" si="31"/>
        <v>0.26568187252583758</v>
      </c>
      <c r="BA349" s="202">
        <f t="shared" si="29"/>
        <v>0.26568187252583758</v>
      </c>
      <c r="BB349" s="202">
        <f t="shared" si="27"/>
        <v>1.3</v>
      </c>
      <c r="BC349" s="181"/>
      <c r="BD349" s="6"/>
      <c r="BF349" s="6"/>
      <c r="BH349" s="6"/>
      <c r="BJ349" s="6"/>
      <c r="BL349" s="6"/>
      <c r="BM349" s="6"/>
      <c r="BN349" s="6"/>
      <c r="BS349" s="8"/>
      <c r="BU349" s="8"/>
      <c r="BV349" s="8"/>
      <c r="BW349" s="8"/>
      <c r="BX349" s="8"/>
      <c r="BY349" s="8"/>
      <c r="BZ349" s="8"/>
      <c r="CA349" s="8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</row>
    <row r="350" spans="2:183" s="76" customFormat="1" ht="12" customHeight="1">
      <c r="B350" s="8"/>
      <c r="C350" s="8"/>
      <c r="D350" s="75"/>
      <c r="E350" s="75"/>
      <c r="F350" s="75"/>
      <c r="G350" s="75"/>
      <c r="H350" s="75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6"/>
      <c r="AQ350" s="179"/>
      <c r="AR350" s="180"/>
      <c r="AS350" s="180"/>
      <c r="AT350" s="180"/>
      <c r="AU350" s="180"/>
      <c r="AV350" s="183">
        <v>6.9199999999999804</v>
      </c>
      <c r="AW350" s="185">
        <f t="shared" si="30"/>
        <v>6.5154198269237559E-2</v>
      </c>
      <c r="AX350" s="201">
        <f t="shared" si="28"/>
        <v>6.5154198269237559E-2</v>
      </c>
      <c r="AY350" s="187">
        <v>3.46</v>
      </c>
      <c r="AZ350" s="189">
        <f t="shared" si="31"/>
        <v>0.26568187252583758</v>
      </c>
      <c r="BA350" s="202">
        <f t="shared" si="29"/>
        <v>0.26568187252583758</v>
      </c>
      <c r="BB350" s="202">
        <f t="shared" si="27"/>
        <v>1.3</v>
      </c>
      <c r="BC350" s="181"/>
      <c r="BD350" s="6"/>
      <c r="BF350" s="6"/>
      <c r="BH350" s="6"/>
      <c r="BJ350" s="6"/>
      <c r="BL350" s="6"/>
      <c r="BM350" s="6"/>
      <c r="BN350" s="6"/>
      <c r="BS350" s="8"/>
      <c r="BU350" s="8"/>
      <c r="BV350" s="8"/>
      <c r="BW350" s="8"/>
      <c r="BX350" s="8"/>
      <c r="BY350" s="8"/>
      <c r="BZ350" s="8"/>
      <c r="CA350" s="8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</row>
    <row r="351" spans="2:183" s="76" customFormat="1" ht="12" customHeight="1">
      <c r="B351" s="8"/>
      <c r="C351" s="8"/>
      <c r="D351" s="75"/>
      <c r="E351" s="75"/>
      <c r="F351" s="75"/>
      <c r="G351" s="75"/>
      <c r="H351" s="75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6"/>
      <c r="AQ351" s="179"/>
      <c r="AR351" s="180"/>
      <c r="AS351" s="180"/>
      <c r="AT351" s="180"/>
      <c r="AU351" s="180"/>
      <c r="AV351" s="183">
        <v>6.93999999999998</v>
      </c>
      <c r="AW351" s="185">
        <f t="shared" si="30"/>
        <v>6.4779210856331704E-2</v>
      </c>
      <c r="AX351" s="201">
        <f t="shared" si="28"/>
        <v>6.4779210856331704E-2</v>
      </c>
      <c r="AY351" s="187">
        <v>3.47</v>
      </c>
      <c r="AZ351" s="189">
        <f t="shared" si="31"/>
        <v>0.26568187252583758</v>
      </c>
      <c r="BA351" s="202">
        <f t="shared" si="29"/>
        <v>0.26568187252583758</v>
      </c>
      <c r="BB351" s="202">
        <f t="shared" si="27"/>
        <v>1.3</v>
      </c>
      <c r="BC351" s="181"/>
      <c r="BD351" s="6"/>
      <c r="BF351" s="6"/>
      <c r="BH351" s="6"/>
      <c r="BJ351" s="6"/>
      <c r="BL351" s="6"/>
      <c r="BM351" s="6"/>
      <c r="BN351" s="6"/>
      <c r="BS351" s="8"/>
      <c r="BU351" s="8"/>
      <c r="BV351" s="8"/>
      <c r="BW351" s="8"/>
      <c r="BX351" s="8"/>
      <c r="BY351" s="8"/>
      <c r="BZ351" s="8"/>
      <c r="CA351" s="8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</row>
    <row r="352" spans="2:183" s="76" customFormat="1" ht="12" customHeight="1">
      <c r="B352" s="8"/>
      <c r="C352" s="8"/>
      <c r="D352" s="75"/>
      <c r="E352" s="75"/>
      <c r="F352" s="75"/>
      <c r="G352" s="75"/>
      <c r="H352" s="75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6"/>
      <c r="AQ352" s="179"/>
      <c r="AR352" s="180"/>
      <c r="AS352" s="180"/>
      <c r="AT352" s="180"/>
      <c r="AU352" s="180"/>
      <c r="AV352" s="183">
        <v>6.9599999999999804</v>
      </c>
      <c r="AW352" s="185">
        <f t="shared" si="30"/>
        <v>6.4407451446690814E-2</v>
      </c>
      <c r="AX352" s="201">
        <f t="shared" si="28"/>
        <v>6.4407451446690814E-2</v>
      </c>
      <c r="AY352" s="187">
        <v>3.48</v>
      </c>
      <c r="AZ352" s="189">
        <f t="shared" si="31"/>
        <v>0.26568187252583758</v>
      </c>
      <c r="BA352" s="202">
        <f t="shared" si="29"/>
        <v>0.26568187252583758</v>
      </c>
      <c r="BB352" s="202">
        <f t="shared" si="27"/>
        <v>1.3</v>
      </c>
      <c r="BC352" s="181"/>
      <c r="BD352" s="6"/>
      <c r="BF352" s="6"/>
      <c r="BH352" s="6"/>
      <c r="BJ352" s="6"/>
      <c r="BL352" s="6"/>
      <c r="BM352" s="6"/>
      <c r="BN352" s="6"/>
      <c r="BS352" s="8"/>
      <c r="BU352" s="8"/>
      <c r="BV352" s="8"/>
      <c r="BW352" s="8"/>
      <c r="BX352" s="8"/>
      <c r="BY352" s="8"/>
      <c r="BZ352" s="8"/>
      <c r="CA352" s="8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</row>
    <row r="353" spans="2:183" s="76" customFormat="1" ht="12" customHeight="1">
      <c r="B353" s="8"/>
      <c r="C353" s="8"/>
      <c r="D353" s="75"/>
      <c r="E353" s="75"/>
      <c r="F353" s="75"/>
      <c r="G353" s="75"/>
      <c r="H353" s="75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6"/>
      <c r="AQ353" s="179"/>
      <c r="AR353" s="180"/>
      <c r="AS353" s="180"/>
      <c r="AT353" s="180"/>
      <c r="AU353" s="180"/>
      <c r="AV353" s="183">
        <v>6.97999999999998</v>
      </c>
      <c r="AW353" s="185">
        <f t="shared" si="30"/>
        <v>6.4038883096198262E-2</v>
      </c>
      <c r="AX353" s="201">
        <f t="shared" si="28"/>
        <v>6.4038883096198262E-2</v>
      </c>
      <c r="AY353" s="187">
        <v>3.49</v>
      </c>
      <c r="AZ353" s="189">
        <f t="shared" si="31"/>
        <v>0.26568187252583758</v>
      </c>
      <c r="BA353" s="202">
        <f t="shared" si="29"/>
        <v>0.26568187252583758</v>
      </c>
      <c r="BB353" s="202">
        <f t="shared" si="27"/>
        <v>1.3</v>
      </c>
      <c r="BC353" s="181"/>
      <c r="BD353" s="6"/>
      <c r="BF353" s="6"/>
      <c r="BH353" s="6"/>
      <c r="BJ353" s="6"/>
      <c r="BL353" s="6"/>
      <c r="BM353" s="6"/>
      <c r="BN353" s="6"/>
      <c r="BS353" s="8"/>
      <c r="BU353" s="8"/>
      <c r="BV353" s="8"/>
      <c r="BW353" s="8"/>
      <c r="BX353" s="8"/>
      <c r="BY353" s="8"/>
      <c r="BZ353" s="8"/>
      <c r="CA353" s="8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</row>
    <row r="354" spans="2:183" s="76" customFormat="1" ht="12" customHeight="1">
      <c r="B354" s="8"/>
      <c r="C354" s="8"/>
      <c r="D354" s="75"/>
      <c r="E354" s="75"/>
      <c r="F354" s="75"/>
      <c r="G354" s="75"/>
      <c r="H354" s="75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6"/>
      <c r="AQ354" s="179"/>
      <c r="AR354" s="180"/>
      <c r="AS354" s="180"/>
      <c r="AT354" s="180"/>
      <c r="AU354" s="180"/>
      <c r="AV354" s="183">
        <v>6.9999999999999796</v>
      </c>
      <c r="AW354" s="185">
        <f t="shared" si="30"/>
        <v>6.3673469387755477E-2</v>
      </c>
      <c r="AX354" s="201">
        <f t="shared" si="28"/>
        <v>6.3673469387755477E-2</v>
      </c>
      <c r="AY354" s="187">
        <v>3.5</v>
      </c>
      <c r="AZ354" s="189">
        <f t="shared" si="31"/>
        <v>0.26568187252583758</v>
      </c>
      <c r="BA354" s="202">
        <f t="shared" si="29"/>
        <v>0.26568187252583758</v>
      </c>
      <c r="BB354" s="202">
        <f t="shared" si="27"/>
        <v>1.3</v>
      </c>
      <c r="BC354" s="181"/>
      <c r="BD354" s="6"/>
      <c r="BF354" s="6"/>
      <c r="BH354" s="6"/>
      <c r="BJ354" s="6"/>
      <c r="BL354" s="6"/>
      <c r="BM354" s="6"/>
      <c r="BN354" s="6"/>
      <c r="BS354" s="8"/>
      <c r="BU354" s="8"/>
      <c r="BV354" s="8"/>
      <c r="BW354" s="8"/>
      <c r="BX354" s="8"/>
      <c r="BY354" s="8"/>
      <c r="BZ354" s="8"/>
      <c r="CA354" s="8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</row>
    <row r="355" spans="2:183" s="76" customFormat="1" ht="12" customHeight="1">
      <c r="B355" s="8"/>
      <c r="C355" s="8"/>
      <c r="D355" s="75"/>
      <c r="E355" s="75"/>
      <c r="F355" s="75"/>
      <c r="G355" s="75"/>
      <c r="H355" s="75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6"/>
      <c r="AQ355" s="179"/>
      <c r="AR355" s="180"/>
      <c r="AS355" s="180"/>
      <c r="AT355" s="180"/>
      <c r="AU355" s="180"/>
      <c r="AV355" s="183">
        <v>7.01999999999998</v>
      </c>
      <c r="AW355" s="185">
        <f t="shared" si="30"/>
        <v>6.3311174422285885E-2</v>
      </c>
      <c r="AX355" s="201">
        <f t="shared" si="28"/>
        <v>6.3311174422285885E-2</v>
      </c>
      <c r="AY355" s="187">
        <v>3.51</v>
      </c>
      <c r="AZ355" s="189">
        <f t="shared" si="31"/>
        <v>0.26568187252583758</v>
      </c>
      <c r="BA355" s="202">
        <f t="shared" si="29"/>
        <v>0.26568187252583758</v>
      </c>
      <c r="BB355" s="202">
        <f t="shared" si="27"/>
        <v>1.3</v>
      </c>
      <c r="BC355" s="181"/>
      <c r="BD355" s="6"/>
      <c r="BF355" s="6"/>
      <c r="BH355" s="6"/>
      <c r="BJ355" s="6"/>
      <c r="BL355" s="6"/>
      <c r="BM355" s="6"/>
      <c r="BN355" s="6"/>
      <c r="BS355" s="8"/>
      <c r="BU355" s="8"/>
      <c r="BV355" s="8"/>
      <c r="BW355" s="8"/>
      <c r="BX355" s="8"/>
      <c r="BY355" s="8"/>
      <c r="BZ355" s="8"/>
      <c r="CA355" s="8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</row>
    <row r="356" spans="2:183" s="76" customFormat="1" ht="12" customHeight="1">
      <c r="B356" s="8"/>
      <c r="C356" s="8"/>
      <c r="D356" s="75"/>
      <c r="E356" s="75"/>
      <c r="F356" s="75"/>
      <c r="G356" s="75"/>
      <c r="H356" s="75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6"/>
      <c r="AQ356" s="179"/>
      <c r="AR356" s="180"/>
      <c r="AS356" s="180"/>
      <c r="AT356" s="180"/>
      <c r="AU356" s="180"/>
      <c r="AV356" s="183">
        <v>7.0399999999999796</v>
      </c>
      <c r="AW356" s="185">
        <f t="shared" si="30"/>
        <v>6.2951962809917716E-2</v>
      </c>
      <c r="AX356" s="201">
        <f t="shared" si="28"/>
        <v>6.2951962809917716E-2</v>
      </c>
      <c r="AY356" s="187">
        <v>3.52</v>
      </c>
      <c r="AZ356" s="189">
        <f t="shared" si="31"/>
        <v>0.26568187252583758</v>
      </c>
      <c r="BA356" s="202">
        <f t="shared" si="29"/>
        <v>0.26568187252583758</v>
      </c>
      <c r="BB356" s="202">
        <f t="shared" si="27"/>
        <v>1.3</v>
      </c>
      <c r="BC356" s="181"/>
      <c r="BD356" s="6"/>
      <c r="BF356" s="6"/>
      <c r="BH356" s="6"/>
      <c r="BJ356" s="6"/>
      <c r="BL356" s="6"/>
      <c r="BM356" s="6"/>
      <c r="BN356" s="6"/>
      <c r="BS356" s="8"/>
      <c r="BU356" s="8"/>
      <c r="BV356" s="8"/>
      <c r="BW356" s="8"/>
      <c r="BX356" s="8"/>
      <c r="BY356" s="8"/>
      <c r="BZ356" s="8"/>
      <c r="CA356" s="8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</row>
    <row r="357" spans="2:183" s="76" customFormat="1" ht="12" customHeight="1">
      <c r="B357" s="8"/>
      <c r="C357" s="8"/>
      <c r="D357" s="75"/>
      <c r="E357" s="75"/>
      <c r="F357" s="75"/>
      <c r="G357" s="75"/>
      <c r="H357" s="75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6"/>
      <c r="AQ357" s="179"/>
      <c r="AR357" s="180"/>
      <c r="AS357" s="180"/>
      <c r="AT357" s="180"/>
      <c r="AU357" s="180"/>
      <c r="AV357" s="183">
        <v>7.0599999999999801</v>
      </c>
      <c r="AW357" s="185">
        <f t="shared" si="30"/>
        <v>6.2595799661341031E-2</v>
      </c>
      <c r="AX357" s="201">
        <f t="shared" si="28"/>
        <v>6.2595799661341031E-2</v>
      </c>
      <c r="AY357" s="187">
        <v>3.53</v>
      </c>
      <c r="AZ357" s="189">
        <f t="shared" si="31"/>
        <v>0.26568187252583758</v>
      </c>
      <c r="BA357" s="202">
        <f t="shared" si="29"/>
        <v>0.26568187252583758</v>
      </c>
      <c r="BB357" s="202">
        <f t="shared" si="27"/>
        <v>1.3</v>
      </c>
      <c r="BC357" s="181"/>
      <c r="BD357" s="6"/>
      <c r="BF357" s="6"/>
      <c r="BH357" s="6"/>
      <c r="BJ357" s="6"/>
      <c r="BL357" s="6"/>
      <c r="BM357" s="6"/>
      <c r="BN357" s="6"/>
      <c r="BS357" s="8"/>
      <c r="BU357" s="8"/>
      <c r="BV357" s="8"/>
      <c r="BW357" s="8"/>
      <c r="BX357" s="8"/>
      <c r="BY357" s="8"/>
      <c r="BZ357" s="8"/>
      <c r="CA357" s="8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</row>
    <row r="358" spans="2:183" s="76" customFormat="1" ht="12" customHeight="1">
      <c r="B358" s="8"/>
      <c r="C358" s="8"/>
      <c r="D358" s="75"/>
      <c r="E358" s="75"/>
      <c r="F358" s="75"/>
      <c r="G358" s="75"/>
      <c r="H358" s="75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6"/>
      <c r="AQ358" s="179"/>
      <c r="AR358" s="180"/>
      <c r="AS358" s="180"/>
      <c r="AT358" s="180"/>
      <c r="AU358" s="180"/>
      <c r="AV358" s="183">
        <v>7.0799999999999796</v>
      </c>
      <c r="AW358" s="185">
        <f t="shared" si="30"/>
        <v>6.2242650579335798E-2</v>
      </c>
      <c r="AX358" s="201">
        <f t="shared" si="28"/>
        <v>6.2242650579335798E-2</v>
      </c>
      <c r="AY358" s="187">
        <v>3.54</v>
      </c>
      <c r="AZ358" s="189">
        <f t="shared" si="31"/>
        <v>0.26568187252583758</v>
      </c>
      <c r="BA358" s="202">
        <f t="shared" si="29"/>
        <v>0.26568187252583758</v>
      </c>
      <c r="BB358" s="202">
        <f t="shared" si="27"/>
        <v>1.3</v>
      </c>
      <c r="BC358" s="181"/>
      <c r="BD358" s="6"/>
      <c r="BF358" s="6"/>
      <c r="BH358" s="6"/>
      <c r="BJ358" s="6"/>
      <c r="BL358" s="6"/>
      <c r="BM358" s="6"/>
      <c r="BN358" s="6"/>
      <c r="BS358" s="8"/>
      <c r="BU358" s="8"/>
      <c r="BV358" s="8"/>
      <c r="BW358" s="8"/>
      <c r="BX358" s="8"/>
      <c r="BY358" s="8"/>
      <c r="BZ358" s="8"/>
      <c r="CA358" s="8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</row>
    <row r="359" spans="2:183" s="76" customFormat="1" ht="12" customHeight="1">
      <c r="B359" s="8"/>
      <c r="C359" s="8"/>
      <c r="D359" s="75"/>
      <c r="E359" s="75"/>
      <c r="F359" s="75"/>
      <c r="G359" s="75"/>
      <c r="H359" s="75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6"/>
      <c r="AQ359" s="179"/>
      <c r="AR359" s="180"/>
      <c r="AS359" s="180"/>
      <c r="AT359" s="180"/>
      <c r="AU359" s="180"/>
      <c r="AV359" s="183">
        <v>7.0999999999999801</v>
      </c>
      <c r="AW359" s="185">
        <f t="shared" si="30"/>
        <v>6.1892481650466527E-2</v>
      </c>
      <c r="AX359" s="201">
        <f t="shared" si="28"/>
        <v>6.1892481650466527E-2</v>
      </c>
      <c r="AY359" s="187">
        <v>3.55</v>
      </c>
      <c r="AZ359" s="189">
        <f t="shared" si="31"/>
        <v>0.26568187252583758</v>
      </c>
      <c r="BA359" s="202">
        <f t="shared" si="29"/>
        <v>0.26568187252583758</v>
      </c>
      <c r="BB359" s="202">
        <f t="shared" si="27"/>
        <v>1.3</v>
      </c>
      <c r="BC359" s="181"/>
      <c r="BD359" s="6"/>
      <c r="BF359" s="6"/>
      <c r="BH359" s="6"/>
      <c r="BJ359" s="6"/>
      <c r="BL359" s="6"/>
      <c r="BM359" s="6"/>
      <c r="BN359" s="6"/>
      <c r="BS359" s="8"/>
      <c r="BU359" s="8"/>
      <c r="BV359" s="8"/>
      <c r="BW359" s="8"/>
      <c r="BX359" s="8"/>
      <c r="BY359" s="8"/>
      <c r="BZ359" s="8"/>
      <c r="CA359" s="8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</row>
    <row r="360" spans="2:183" s="76" customFormat="1" ht="12" customHeight="1">
      <c r="B360" s="8"/>
      <c r="C360" s="8"/>
      <c r="D360" s="75"/>
      <c r="E360" s="75"/>
      <c r="F360" s="75"/>
      <c r="G360" s="75"/>
      <c r="H360" s="75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6"/>
      <c r="AQ360" s="179"/>
      <c r="AR360" s="180"/>
      <c r="AS360" s="180"/>
      <c r="AT360" s="180"/>
      <c r="AU360" s="180"/>
      <c r="AV360" s="183">
        <v>7.1199999999999797</v>
      </c>
      <c r="AW360" s="185">
        <f t="shared" si="30"/>
        <v>6.1545259436940135E-2</v>
      </c>
      <c r="AX360" s="201">
        <f t="shared" si="28"/>
        <v>6.1545259436940135E-2</v>
      </c>
      <c r="AY360" s="187">
        <v>3.56</v>
      </c>
      <c r="AZ360" s="189">
        <f t="shared" si="31"/>
        <v>0.26568187252583758</v>
      </c>
      <c r="BA360" s="202">
        <f t="shared" si="29"/>
        <v>0.26568187252583758</v>
      </c>
      <c r="BB360" s="202">
        <f t="shared" si="27"/>
        <v>1.3</v>
      </c>
      <c r="BC360" s="181"/>
      <c r="BD360" s="6"/>
      <c r="BF360" s="6"/>
      <c r="BH360" s="6"/>
      <c r="BJ360" s="6"/>
      <c r="BL360" s="6"/>
      <c r="BM360" s="6"/>
      <c r="BN360" s="6"/>
      <c r="BS360" s="8"/>
      <c r="BU360" s="8"/>
      <c r="BV360" s="8"/>
      <c r="BW360" s="8"/>
      <c r="BX360" s="8"/>
      <c r="BY360" s="8"/>
      <c r="BZ360" s="8"/>
      <c r="CA360" s="8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</row>
    <row r="361" spans="2:183" s="76" customFormat="1" ht="12" customHeight="1">
      <c r="B361" s="8"/>
      <c r="C361" s="8"/>
      <c r="D361" s="75"/>
      <c r="E361" s="75"/>
      <c r="F361" s="75"/>
      <c r="G361" s="75"/>
      <c r="H361" s="75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6"/>
      <c r="AQ361" s="179"/>
      <c r="AR361" s="180"/>
      <c r="AS361" s="180"/>
      <c r="AT361" s="180"/>
      <c r="AU361" s="180"/>
      <c r="AV361" s="183">
        <v>7.1399999999999704</v>
      </c>
      <c r="AW361" s="185">
        <f t="shared" si="30"/>
        <v>6.1200950968623248E-2</v>
      </c>
      <c r="AX361" s="201">
        <f t="shared" si="28"/>
        <v>6.1200950968623248E-2</v>
      </c>
      <c r="AY361" s="187">
        <v>3.57</v>
      </c>
      <c r="AZ361" s="189">
        <f t="shared" si="31"/>
        <v>0.26568187252583758</v>
      </c>
      <c r="BA361" s="202">
        <f t="shared" si="29"/>
        <v>0.26568187252583758</v>
      </c>
      <c r="BB361" s="202">
        <f t="shared" si="27"/>
        <v>1.3</v>
      </c>
      <c r="BC361" s="181"/>
      <c r="BD361" s="6"/>
      <c r="BF361" s="6"/>
      <c r="BH361" s="6"/>
      <c r="BJ361" s="6"/>
      <c r="BL361" s="6"/>
      <c r="BM361" s="6"/>
      <c r="BN361" s="6"/>
      <c r="BS361" s="8"/>
      <c r="BU361" s="8"/>
      <c r="BV361" s="8"/>
      <c r="BW361" s="8"/>
      <c r="BX361" s="8"/>
      <c r="BY361" s="8"/>
      <c r="BZ361" s="8"/>
      <c r="CA361" s="8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</row>
    <row r="362" spans="2:183" s="76" customFormat="1" ht="12" customHeight="1">
      <c r="B362" s="8"/>
      <c r="C362" s="8"/>
      <c r="D362" s="75"/>
      <c r="E362" s="75"/>
      <c r="F362" s="75"/>
      <c r="G362" s="75"/>
      <c r="H362" s="75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6"/>
      <c r="AQ362" s="179"/>
      <c r="AR362" s="180"/>
      <c r="AS362" s="180"/>
      <c r="AT362" s="180"/>
      <c r="AU362" s="180"/>
      <c r="AV362" s="183">
        <v>7.1599999999999699</v>
      </c>
      <c r="AW362" s="185">
        <f t="shared" si="30"/>
        <v>6.0859523735214763E-2</v>
      </c>
      <c r="AX362" s="201">
        <f t="shared" si="28"/>
        <v>6.0859523735214763E-2</v>
      </c>
      <c r="AY362" s="187">
        <v>3.58</v>
      </c>
      <c r="AZ362" s="189">
        <f t="shared" si="31"/>
        <v>0.26568187252583758</v>
      </c>
      <c r="BA362" s="202">
        <f t="shared" si="29"/>
        <v>0.26568187252583758</v>
      </c>
      <c r="BB362" s="202">
        <f t="shared" si="27"/>
        <v>1.3</v>
      </c>
      <c r="BC362" s="181"/>
      <c r="BD362" s="6"/>
      <c r="BF362" s="6"/>
      <c r="BH362" s="6"/>
      <c r="BJ362" s="6"/>
      <c r="BL362" s="6"/>
      <c r="BM362" s="6"/>
      <c r="BN362" s="6"/>
      <c r="BS362" s="8"/>
      <c r="BU362" s="8"/>
      <c r="BV362" s="8"/>
      <c r="BW362" s="8"/>
      <c r="BX362" s="8"/>
      <c r="BY362" s="8"/>
      <c r="BZ362" s="8"/>
      <c r="CA362" s="8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</row>
    <row r="363" spans="2:183" s="76" customFormat="1" ht="12" customHeight="1">
      <c r="B363" s="8"/>
      <c r="C363" s="8"/>
      <c r="D363" s="75"/>
      <c r="E363" s="75"/>
      <c r="F363" s="75"/>
      <c r="G363" s="75"/>
      <c r="H363" s="75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6"/>
      <c r="AQ363" s="179"/>
      <c r="AR363" s="180"/>
      <c r="AS363" s="180"/>
      <c r="AT363" s="180"/>
      <c r="AU363" s="180"/>
      <c r="AV363" s="183">
        <v>7.1799999999999704</v>
      </c>
      <c r="AW363" s="185">
        <f t="shared" si="30"/>
        <v>6.0520945678572212E-2</v>
      </c>
      <c r="AX363" s="201">
        <f t="shared" si="28"/>
        <v>6.0520945678572212E-2</v>
      </c>
      <c r="AY363" s="187">
        <v>3.59</v>
      </c>
      <c r="AZ363" s="189">
        <f t="shared" si="31"/>
        <v>0.26568187252583758</v>
      </c>
      <c r="BA363" s="202">
        <f t="shared" si="29"/>
        <v>0.26568187252583758</v>
      </c>
      <c r="BB363" s="202">
        <f t="shared" si="27"/>
        <v>1.3</v>
      </c>
      <c r="BC363" s="181"/>
      <c r="BD363" s="6"/>
      <c r="BF363" s="6"/>
      <c r="BH363" s="6"/>
      <c r="BJ363" s="6"/>
      <c r="BL363" s="6"/>
      <c r="BM363" s="6"/>
      <c r="BN363" s="6"/>
      <c r="BS363" s="8"/>
      <c r="BU363" s="8"/>
      <c r="BV363" s="8"/>
      <c r="BW363" s="8"/>
      <c r="BX363" s="8"/>
      <c r="BY363" s="8"/>
      <c r="BZ363" s="8"/>
      <c r="CA363" s="8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</row>
    <row r="364" spans="2:183" s="76" customFormat="1" ht="12" customHeight="1">
      <c r="B364" s="8"/>
      <c r="C364" s="8"/>
      <c r="D364" s="75"/>
      <c r="E364" s="75"/>
      <c r="F364" s="75"/>
      <c r="G364" s="75"/>
      <c r="H364" s="75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6"/>
      <c r="AQ364" s="179"/>
      <c r="AR364" s="180"/>
      <c r="AS364" s="180"/>
      <c r="AT364" s="180"/>
      <c r="AU364" s="180"/>
      <c r="AV364" s="183">
        <v>7.19999999999997</v>
      </c>
      <c r="AW364" s="185">
        <f t="shared" si="30"/>
        <v>6.0185185185185688E-2</v>
      </c>
      <c r="AX364" s="201">
        <f t="shared" si="28"/>
        <v>6.0185185185185688E-2</v>
      </c>
      <c r="AY364" s="187">
        <v>3.6</v>
      </c>
      <c r="AZ364" s="189">
        <f t="shared" si="31"/>
        <v>0.26568187252583758</v>
      </c>
      <c r="BA364" s="202">
        <f t="shared" si="29"/>
        <v>0.26568187252583758</v>
      </c>
      <c r="BB364" s="202">
        <f t="shared" si="27"/>
        <v>1.3</v>
      </c>
      <c r="BC364" s="181"/>
      <c r="BD364" s="6"/>
      <c r="BF364" s="6"/>
      <c r="BH364" s="6"/>
      <c r="BJ364" s="6"/>
      <c r="BL364" s="6"/>
      <c r="BM364" s="6"/>
      <c r="BN364" s="6"/>
      <c r="BS364" s="8"/>
      <c r="BU364" s="8"/>
      <c r="BV364" s="8"/>
      <c r="BW364" s="8"/>
      <c r="BX364" s="8"/>
      <c r="BY364" s="8"/>
      <c r="BZ364" s="8"/>
      <c r="CA364" s="8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</row>
    <row r="365" spans="2:183" s="76" customFormat="1" ht="12" customHeight="1">
      <c r="B365" s="8"/>
      <c r="C365" s="8"/>
      <c r="D365" s="75"/>
      <c r="E365" s="75"/>
      <c r="F365" s="75"/>
      <c r="G365" s="75"/>
      <c r="H365" s="75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6"/>
      <c r="AQ365" s="179"/>
      <c r="AR365" s="180"/>
      <c r="AS365" s="180"/>
      <c r="AT365" s="180"/>
      <c r="AU365" s="180"/>
      <c r="AV365" s="183">
        <v>7.2199999999999704</v>
      </c>
      <c r="AW365" s="185">
        <f t="shared" si="30"/>
        <v>5.9852211078798227E-2</v>
      </c>
      <c r="AX365" s="201">
        <f t="shared" si="28"/>
        <v>5.9852211078798227E-2</v>
      </c>
      <c r="AY365" s="187">
        <v>3.61</v>
      </c>
      <c r="AZ365" s="189">
        <f t="shared" si="31"/>
        <v>0.26568187252583758</v>
      </c>
      <c r="BA365" s="202">
        <f t="shared" si="29"/>
        <v>0.26568187252583758</v>
      </c>
      <c r="BB365" s="202">
        <f t="shared" si="27"/>
        <v>1.3</v>
      </c>
      <c r="BC365" s="181"/>
      <c r="BD365" s="6"/>
      <c r="BF365" s="6"/>
      <c r="BH365" s="6"/>
      <c r="BJ365" s="6"/>
      <c r="BL365" s="6"/>
      <c r="BM365" s="6"/>
      <c r="BN365" s="6"/>
      <c r="BS365" s="8"/>
      <c r="BU365" s="8"/>
      <c r="BV365" s="8"/>
      <c r="BW365" s="8"/>
      <c r="BX365" s="8"/>
      <c r="BY365" s="8"/>
      <c r="BZ365" s="8"/>
      <c r="CA365" s="8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</row>
    <row r="366" spans="2:183" s="76" customFormat="1" ht="12" customHeight="1">
      <c r="B366" s="8"/>
      <c r="C366" s="8"/>
      <c r="D366" s="75"/>
      <c r="E366" s="75"/>
      <c r="F366" s="75"/>
      <c r="G366" s="75"/>
      <c r="H366" s="75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6"/>
      <c r="AQ366" s="179"/>
      <c r="AR366" s="180"/>
      <c r="AS366" s="180"/>
      <c r="AT366" s="180"/>
      <c r="AU366" s="180"/>
      <c r="AV366" s="183">
        <v>7.23999999999997</v>
      </c>
      <c r="AW366" s="185">
        <f t="shared" si="30"/>
        <v>5.9521992613168588E-2</v>
      </c>
      <c r="AX366" s="201">
        <f t="shared" si="28"/>
        <v>5.9521992613168588E-2</v>
      </c>
      <c r="AY366" s="187">
        <v>3.62</v>
      </c>
      <c r="AZ366" s="189">
        <f t="shared" si="31"/>
        <v>0.26568187252583758</v>
      </c>
      <c r="BA366" s="202">
        <f t="shared" si="29"/>
        <v>0.26568187252583758</v>
      </c>
      <c r="BB366" s="202">
        <f t="shared" si="27"/>
        <v>1.3</v>
      </c>
      <c r="BC366" s="181"/>
      <c r="BD366" s="6"/>
      <c r="BF366" s="6"/>
      <c r="BH366" s="6"/>
      <c r="BJ366" s="6"/>
      <c r="BL366" s="6"/>
      <c r="BM366" s="6"/>
      <c r="BN366" s="6"/>
      <c r="BS366" s="8"/>
      <c r="BU366" s="8"/>
      <c r="BV366" s="8"/>
      <c r="BW366" s="8"/>
      <c r="BX366" s="8"/>
      <c r="BY366" s="8"/>
      <c r="BZ366" s="8"/>
      <c r="CA366" s="8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</row>
    <row r="367" spans="2:183" s="76" customFormat="1" ht="12" customHeight="1">
      <c r="B367" s="8"/>
      <c r="C367" s="8"/>
      <c r="D367" s="75"/>
      <c r="E367" s="75"/>
      <c r="F367" s="75"/>
      <c r="G367" s="75"/>
      <c r="H367" s="75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6"/>
      <c r="AQ367" s="179"/>
      <c r="AR367" s="180"/>
      <c r="AS367" s="180"/>
      <c r="AT367" s="180"/>
      <c r="AU367" s="180"/>
      <c r="AV367" s="183">
        <v>7.2599999999999696</v>
      </c>
      <c r="AW367" s="185">
        <f t="shared" si="30"/>
        <v>5.9194499464973294E-2</v>
      </c>
      <c r="AX367" s="201">
        <f t="shared" si="28"/>
        <v>5.9194499464973294E-2</v>
      </c>
      <c r="AY367" s="187">
        <v>3.63</v>
      </c>
      <c r="AZ367" s="189">
        <f t="shared" si="31"/>
        <v>0.26568187252583758</v>
      </c>
      <c r="BA367" s="202">
        <f t="shared" si="29"/>
        <v>0.26568187252583758</v>
      </c>
      <c r="BB367" s="202">
        <f t="shared" si="27"/>
        <v>1.3</v>
      </c>
      <c r="BC367" s="181"/>
      <c r="BD367" s="6"/>
      <c r="BF367" s="6"/>
      <c r="BH367" s="6"/>
      <c r="BJ367" s="6"/>
      <c r="BL367" s="6"/>
      <c r="BM367" s="6"/>
      <c r="BN367" s="6"/>
      <c r="BS367" s="8"/>
      <c r="BU367" s="8"/>
      <c r="BV367" s="8"/>
      <c r="BW367" s="8"/>
      <c r="BX367" s="8"/>
      <c r="BY367" s="8"/>
      <c r="BZ367" s="8"/>
      <c r="CA367" s="8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</row>
    <row r="368" spans="2:183" s="76" customFormat="1" ht="12" customHeight="1">
      <c r="B368" s="8"/>
      <c r="C368" s="8"/>
      <c r="D368" s="75"/>
      <c r="E368" s="75"/>
      <c r="F368" s="75"/>
      <c r="G368" s="75"/>
      <c r="H368" s="75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6"/>
      <c r="AQ368" s="179"/>
      <c r="AR368" s="180"/>
      <c r="AS368" s="180"/>
      <c r="AT368" s="180"/>
      <c r="AU368" s="180"/>
      <c r="AV368" s="183">
        <v>7.2799999999999701</v>
      </c>
      <c r="AW368" s="185">
        <f t="shared" si="30"/>
        <v>5.8869701726845074E-2</v>
      </c>
      <c r="AX368" s="201">
        <f t="shared" si="28"/>
        <v>5.8869701726845074E-2</v>
      </c>
      <c r="AY368" s="187">
        <v>3.64</v>
      </c>
      <c r="AZ368" s="189">
        <f t="shared" si="31"/>
        <v>0.26568187252583758</v>
      </c>
      <c r="BA368" s="202">
        <f t="shared" si="29"/>
        <v>0.26568187252583758</v>
      </c>
      <c r="BB368" s="202">
        <f t="shared" si="27"/>
        <v>1.3</v>
      </c>
      <c r="BC368" s="181"/>
      <c r="BD368" s="6"/>
      <c r="BF368" s="6"/>
      <c r="BH368" s="6"/>
      <c r="BJ368" s="6"/>
      <c r="BL368" s="6"/>
      <c r="BM368" s="6"/>
      <c r="BN368" s="6"/>
      <c r="BS368" s="8"/>
      <c r="BU368" s="8"/>
      <c r="BV368" s="8"/>
      <c r="BW368" s="8"/>
      <c r="BX368" s="8"/>
      <c r="BY368" s="8"/>
      <c r="BZ368" s="8"/>
      <c r="CA368" s="8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</row>
    <row r="369" spans="2:183" s="76" customFormat="1" ht="12" customHeight="1">
      <c r="B369" s="8"/>
      <c r="C369" s="8"/>
      <c r="D369" s="75"/>
      <c r="E369" s="75"/>
      <c r="F369" s="75"/>
      <c r="G369" s="75"/>
      <c r="H369" s="75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6"/>
      <c r="AQ369" s="179"/>
      <c r="AR369" s="180"/>
      <c r="AS369" s="180"/>
      <c r="AT369" s="180"/>
      <c r="AU369" s="180"/>
      <c r="AV369" s="183">
        <v>7.2999999999999696</v>
      </c>
      <c r="AW369" s="185">
        <f t="shared" si="30"/>
        <v>5.8547569900544681E-2</v>
      </c>
      <c r="AX369" s="201">
        <f t="shared" si="28"/>
        <v>5.8547569900544681E-2</v>
      </c>
      <c r="AY369" s="187">
        <v>3.65</v>
      </c>
      <c r="AZ369" s="189">
        <f t="shared" si="31"/>
        <v>0.26568187252583758</v>
      </c>
      <c r="BA369" s="202">
        <f t="shared" si="29"/>
        <v>0.26568187252583758</v>
      </c>
      <c r="BB369" s="202">
        <f t="shared" si="27"/>
        <v>1.3</v>
      </c>
      <c r="BC369" s="181"/>
      <c r="BD369" s="6"/>
      <c r="BF369" s="6"/>
      <c r="BH369" s="6"/>
      <c r="BJ369" s="6"/>
      <c r="BL369" s="6"/>
      <c r="BM369" s="6"/>
      <c r="BN369" s="6"/>
      <c r="BS369" s="8"/>
      <c r="BU369" s="8"/>
      <c r="BV369" s="8"/>
      <c r="BW369" s="8"/>
      <c r="BX369" s="8"/>
      <c r="BY369" s="8"/>
      <c r="BZ369" s="8"/>
      <c r="CA369" s="8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</row>
    <row r="370" spans="2:183" s="76" customFormat="1" ht="12" customHeight="1">
      <c r="B370" s="8"/>
      <c r="C370" s="8"/>
      <c r="D370" s="75"/>
      <c r="E370" s="75"/>
      <c r="F370" s="75"/>
      <c r="G370" s="75"/>
      <c r="H370" s="75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6"/>
      <c r="AQ370" s="179"/>
      <c r="AR370" s="180"/>
      <c r="AS370" s="180"/>
      <c r="AT370" s="180"/>
      <c r="AU370" s="180"/>
      <c r="AV370" s="183">
        <v>7.3199999999999701</v>
      </c>
      <c r="AW370" s="185">
        <f t="shared" si="30"/>
        <v>5.8228074890262958E-2</v>
      </c>
      <c r="AX370" s="201">
        <f t="shared" si="28"/>
        <v>5.8228074890262958E-2</v>
      </c>
      <c r="AY370" s="187">
        <v>3.66</v>
      </c>
      <c r="AZ370" s="189">
        <f t="shared" si="31"/>
        <v>0.26568187252583758</v>
      </c>
      <c r="BA370" s="202">
        <f t="shared" si="29"/>
        <v>0.26568187252583758</v>
      </c>
      <c r="BB370" s="202">
        <f t="shared" si="27"/>
        <v>1.3</v>
      </c>
      <c r="BC370" s="181"/>
      <c r="BD370" s="6"/>
      <c r="BF370" s="6"/>
      <c r="BH370" s="6"/>
      <c r="BJ370" s="6"/>
      <c r="BL370" s="6"/>
      <c r="BM370" s="6"/>
      <c r="BN370" s="6"/>
      <c r="BS370" s="8"/>
      <c r="BU370" s="8"/>
      <c r="BV370" s="8"/>
      <c r="BW370" s="8"/>
      <c r="BX370" s="8"/>
      <c r="BY370" s="8"/>
      <c r="BZ370" s="8"/>
      <c r="CA370" s="8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</row>
    <row r="371" spans="2:183" s="76" customFormat="1" ht="12" customHeight="1">
      <c r="B371" s="8"/>
      <c r="C371" s="8"/>
      <c r="D371" s="75"/>
      <c r="E371" s="75"/>
      <c r="F371" s="75"/>
      <c r="G371" s="75"/>
      <c r="H371" s="75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6"/>
      <c r="AQ371" s="179"/>
      <c r="AR371" s="180"/>
      <c r="AS371" s="180"/>
      <c r="AT371" s="180"/>
      <c r="AU371" s="180"/>
      <c r="AV371" s="183">
        <v>7.3399999999999697</v>
      </c>
      <c r="AW371" s="185">
        <f t="shared" si="30"/>
        <v>5.7911187996050634E-2</v>
      </c>
      <c r="AX371" s="201">
        <f t="shared" si="28"/>
        <v>5.7911187996050634E-2</v>
      </c>
      <c r="AY371" s="187">
        <v>3.67</v>
      </c>
      <c r="AZ371" s="189">
        <f t="shared" si="31"/>
        <v>0.26568187252583758</v>
      </c>
      <c r="BA371" s="202">
        <f t="shared" si="29"/>
        <v>0.26568187252583758</v>
      </c>
      <c r="BB371" s="202">
        <f t="shared" si="27"/>
        <v>1.3</v>
      </c>
      <c r="BC371" s="181"/>
      <c r="BD371" s="6"/>
      <c r="BF371" s="6"/>
      <c r="BH371" s="6"/>
      <c r="BJ371" s="6"/>
      <c r="BL371" s="6"/>
      <c r="BM371" s="6"/>
      <c r="BN371" s="6"/>
      <c r="BS371" s="8"/>
      <c r="BU371" s="8"/>
      <c r="BV371" s="8"/>
      <c r="BW371" s="8"/>
      <c r="BX371" s="8"/>
      <c r="BY371" s="8"/>
      <c r="BZ371" s="8"/>
      <c r="CA371" s="8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</row>
    <row r="372" spans="2:183" s="76" customFormat="1" ht="12" customHeight="1">
      <c r="B372" s="8"/>
      <c r="C372" s="8"/>
      <c r="D372" s="75"/>
      <c r="E372" s="75"/>
      <c r="F372" s="75"/>
      <c r="G372" s="75"/>
      <c r="H372" s="75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6"/>
      <c r="AQ372" s="179"/>
      <c r="AR372" s="180"/>
      <c r="AS372" s="180"/>
      <c r="AT372" s="180"/>
      <c r="AU372" s="180"/>
      <c r="AV372" s="183">
        <v>7.3599999999999701</v>
      </c>
      <c r="AW372" s="185">
        <f t="shared" si="30"/>
        <v>5.7596880907372867E-2</v>
      </c>
      <c r="AX372" s="201">
        <f t="shared" si="28"/>
        <v>5.7596880907372867E-2</v>
      </c>
      <c r="AY372" s="187">
        <v>3.68</v>
      </c>
      <c r="AZ372" s="189">
        <f t="shared" si="31"/>
        <v>0.26568187252583758</v>
      </c>
      <c r="BA372" s="202">
        <f t="shared" si="29"/>
        <v>0.26568187252583758</v>
      </c>
      <c r="BB372" s="202">
        <f t="shared" si="27"/>
        <v>1.3</v>
      </c>
      <c r="BC372" s="181"/>
      <c r="BD372" s="6"/>
      <c r="BF372" s="6"/>
      <c r="BH372" s="6"/>
      <c r="BJ372" s="6"/>
      <c r="BL372" s="6"/>
      <c r="BM372" s="6"/>
      <c r="BN372" s="6"/>
      <c r="BS372" s="8"/>
      <c r="BU372" s="8"/>
      <c r="BV372" s="8"/>
      <c r="BW372" s="8"/>
      <c r="BX372" s="8"/>
      <c r="BY372" s="8"/>
      <c r="BZ372" s="8"/>
      <c r="CA372" s="8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</row>
    <row r="373" spans="2:183" s="76" customFormat="1" ht="12" customHeight="1">
      <c r="B373" s="8"/>
      <c r="C373" s="8"/>
      <c r="D373" s="75"/>
      <c r="E373" s="75"/>
      <c r="F373" s="75"/>
      <c r="G373" s="75"/>
      <c r="H373" s="75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6"/>
      <c r="AQ373" s="179"/>
      <c r="AR373" s="180"/>
      <c r="AS373" s="180"/>
      <c r="AT373" s="180"/>
      <c r="AU373" s="180"/>
      <c r="AV373" s="183">
        <v>7.3799999999999697</v>
      </c>
      <c r="AW373" s="185">
        <f t="shared" si="30"/>
        <v>5.7285125696785899E-2</v>
      </c>
      <c r="AX373" s="201">
        <f t="shared" si="28"/>
        <v>5.7285125696785899E-2</v>
      </c>
      <c r="AY373" s="187">
        <v>3.69</v>
      </c>
      <c r="AZ373" s="189">
        <f t="shared" si="31"/>
        <v>0.26568187252583758</v>
      </c>
      <c r="BA373" s="202">
        <f t="shared" si="29"/>
        <v>0.26568187252583758</v>
      </c>
      <c r="BB373" s="202">
        <f t="shared" si="27"/>
        <v>1.3</v>
      </c>
      <c r="BC373" s="181"/>
      <c r="BD373" s="6"/>
      <c r="BF373" s="6"/>
      <c r="BH373" s="6"/>
      <c r="BJ373" s="6"/>
      <c r="BL373" s="6"/>
      <c r="BM373" s="6"/>
      <c r="BN373" s="6"/>
      <c r="BS373" s="8"/>
      <c r="BU373" s="8"/>
      <c r="BV373" s="8"/>
      <c r="BW373" s="8"/>
      <c r="BX373" s="8"/>
      <c r="BY373" s="8"/>
      <c r="BZ373" s="8"/>
      <c r="CA373" s="8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</row>
    <row r="374" spans="2:183" s="76" customFormat="1" ht="12" customHeight="1">
      <c r="B374" s="8"/>
      <c r="C374" s="8"/>
      <c r="D374" s="75"/>
      <c r="E374" s="75"/>
      <c r="F374" s="75"/>
      <c r="G374" s="75"/>
      <c r="H374" s="75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6"/>
      <c r="AQ374" s="179"/>
      <c r="AR374" s="180"/>
      <c r="AS374" s="180"/>
      <c r="AT374" s="180"/>
      <c r="AU374" s="180"/>
      <c r="AV374" s="183">
        <v>7.3999999999999702</v>
      </c>
      <c r="AW374" s="185">
        <f t="shared" si="30"/>
        <v>5.6975894813733115E-2</v>
      </c>
      <c r="AX374" s="201">
        <f t="shared" si="28"/>
        <v>5.6975894813733115E-2</v>
      </c>
      <c r="AY374" s="187">
        <v>3.7</v>
      </c>
      <c r="AZ374" s="189">
        <f t="shared" si="31"/>
        <v>0.26568187252583758</v>
      </c>
      <c r="BA374" s="202">
        <f t="shared" si="29"/>
        <v>0.26568187252583758</v>
      </c>
      <c r="BB374" s="202">
        <f t="shared" si="27"/>
        <v>1.3</v>
      </c>
      <c r="BC374" s="181"/>
      <c r="BD374" s="6"/>
      <c r="BF374" s="6"/>
      <c r="BH374" s="6"/>
      <c r="BJ374" s="6"/>
      <c r="BL374" s="6"/>
      <c r="BM374" s="6"/>
      <c r="BN374" s="6"/>
      <c r="BS374" s="8"/>
      <c r="BU374" s="8"/>
      <c r="BV374" s="8"/>
      <c r="BW374" s="8"/>
      <c r="BX374" s="8"/>
      <c r="BY374" s="8"/>
      <c r="BZ374" s="8"/>
      <c r="CA374" s="8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</row>
    <row r="375" spans="2:183" s="76" customFormat="1" ht="12" customHeight="1">
      <c r="B375" s="8"/>
      <c r="C375" s="8"/>
      <c r="D375" s="75"/>
      <c r="E375" s="75"/>
      <c r="F375" s="75"/>
      <c r="G375" s="75"/>
      <c r="H375" s="75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6"/>
      <c r="AQ375" s="179"/>
      <c r="AR375" s="180"/>
      <c r="AS375" s="180"/>
      <c r="AT375" s="180"/>
      <c r="AU375" s="180"/>
      <c r="AV375" s="183">
        <v>7.4199999999999697</v>
      </c>
      <c r="AW375" s="185">
        <f t="shared" si="30"/>
        <v>5.6669161078458194E-2</v>
      </c>
      <c r="AX375" s="201">
        <f t="shared" si="28"/>
        <v>5.6669161078458194E-2</v>
      </c>
      <c r="AY375" s="187">
        <v>3.71</v>
      </c>
      <c r="AZ375" s="189">
        <f t="shared" si="31"/>
        <v>0.26568187252583758</v>
      </c>
      <c r="BA375" s="202">
        <f t="shared" si="29"/>
        <v>0.26568187252583758</v>
      </c>
      <c r="BB375" s="202">
        <f t="shared" ref="BB375:BB404" si="32">IF(OR(AY375&lt;0.2,AY375=0.2),1,IF(AND(AY375&gt;0.2,OR(AY375&lt;1,AY375=1)),(1+(0.375*(AY375-0.2))),IF(AND(AY375&gt;1,OR(AY375&lt;10,AY375=10)),1.3,"Error")))</f>
        <v>1.3</v>
      </c>
      <c r="BC375" s="181"/>
      <c r="BD375" s="6"/>
      <c r="BF375" s="6"/>
      <c r="BH375" s="6"/>
      <c r="BJ375" s="6"/>
      <c r="BL375" s="6"/>
      <c r="BM375" s="6"/>
      <c r="BN375" s="6"/>
      <c r="BS375" s="8"/>
      <c r="BU375" s="8"/>
      <c r="BV375" s="8"/>
      <c r="BW375" s="8"/>
      <c r="BX375" s="8"/>
      <c r="BY375" s="8"/>
      <c r="BZ375" s="8"/>
      <c r="CA375" s="8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</row>
    <row r="376" spans="2:183" s="76" customFormat="1" ht="12" customHeight="1">
      <c r="B376" s="8"/>
      <c r="C376" s="8"/>
      <c r="D376" s="75"/>
      <c r="E376" s="75"/>
      <c r="F376" s="75"/>
      <c r="G376" s="75"/>
      <c r="H376" s="75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6"/>
      <c r="AQ376" s="179"/>
      <c r="AR376" s="180"/>
      <c r="AS376" s="180"/>
      <c r="AT376" s="180"/>
      <c r="AU376" s="180"/>
      <c r="AV376" s="183">
        <v>7.4399999999999702</v>
      </c>
      <c r="AW376" s="185">
        <f t="shared" si="30"/>
        <v>5.6364897676032359E-2</v>
      </c>
      <c r="AX376" s="201">
        <f t="shared" si="28"/>
        <v>5.6364897676032359E-2</v>
      </c>
      <c r="AY376" s="187">
        <v>3.72</v>
      </c>
      <c r="AZ376" s="189">
        <f t="shared" si="31"/>
        <v>0.26568187252583758</v>
      </c>
      <c r="BA376" s="202">
        <f t="shared" si="29"/>
        <v>0.26568187252583758</v>
      </c>
      <c r="BB376" s="202">
        <f t="shared" si="32"/>
        <v>1.3</v>
      </c>
      <c r="BC376" s="181"/>
      <c r="BD376" s="6"/>
      <c r="BF376" s="6"/>
      <c r="BH376" s="6"/>
      <c r="BJ376" s="6"/>
      <c r="BL376" s="6"/>
      <c r="BM376" s="6"/>
      <c r="BN376" s="6"/>
      <c r="BS376" s="8"/>
      <c r="BU376" s="8"/>
      <c r="BV376" s="8"/>
      <c r="BW376" s="8"/>
      <c r="BX376" s="8"/>
      <c r="BY376" s="8"/>
      <c r="BZ376" s="8"/>
      <c r="CA376" s="8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</row>
    <row r="377" spans="2:183" s="76" customFormat="1" ht="12" customHeight="1">
      <c r="B377" s="8"/>
      <c r="C377" s="8"/>
      <c r="D377" s="75"/>
      <c r="E377" s="75"/>
      <c r="F377" s="75"/>
      <c r="G377" s="75"/>
      <c r="H377" s="75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6"/>
      <c r="AQ377" s="179"/>
      <c r="AR377" s="180"/>
      <c r="AS377" s="180"/>
      <c r="AT377" s="180"/>
      <c r="AU377" s="180"/>
      <c r="AV377" s="183">
        <v>7.4599999999999698</v>
      </c>
      <c r="AW377" s="185">
        <f t="shared" si="30"/>
        <v>5.6063078150493884E-2</v>
      </c>
      <c r="AX377" s="201">
        <f t="shared" si="28"/>
        <v>5.6063078150493884E-2</v>
      </c>
      <c r="AY377" s="187">
        <v>3.73</v>
      </c>
      <c r="AZ377" s="189">
        <f t="shared" si="31"/>
        <v>0.26568187252583758</v>
      </c>
      <c r="BA377" s="202">
        <f t="shared" si="29"/>
        <v>0.26568187252583758</v>
      </c>
      <c r="BB377" s="202">
        <f t="shared" si="32"/>
        <v>1.3</v>
      </c>
      <c r="BC377" s="181"/>
      <c r="BD377" s="6"/>
      <c r="BF377" s="6"/>
      <c r="BH377" s="6"/>
      <c r="BJ377" s="6"/>
      <c r="BL377" s="6"/>
      <c r="BM377" s="6"/>
      <c r="BN377" s="6"/>
      <c r="BS377" s="8"/>
      <c r="BU377" s="8"/>
      <c r="BV377" s="8"/>
      <c r="BW377" s="8"/>
      <c r="BX377" s="8"/>
      <c r="BY377" s="8"/>
      <c r="BZ377" s="8"/>
      <c r="CA377" s="8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</row>
    <row r="378" spans="2:183" s="76" customFormat="1" ht="12" customHeight="1">
      <c r="B378" s="8"/>
      <c r="C378" s="8"/>
      <c r="D378" s="75"/>
      <c r="E378" s="75"/>
      <c r="F378" s="75"/>
      <c r="G378" s="75"/>
      <c r="H378" s="75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6"/>
      <c r="AQ378" s="179"/>
      <c r="AR378" s="180"/>
      <c r="AS378" s="180"/>
      <c r="AT378" s="180"/>
      <c r="AU378" s="180"/>
      <c r="AV378" s="183">
        <v>7.4799999999999702</v>
      </c>
      <c r="AW378" s="185">
        <f t="shared" si="30"/>
        <v>5.5763676399096788E-2</v>
      </c>
      <c r="AX378" s="201">
        <f t="shared" si="28"/>
        <v>5.5763676399096788E-2</v>
      </c>
      <c r="AY378" s="187">
        <v>3.74</v>
      </c>
      <c r="AZ378" s="189">
        <f t="shared" si="31"/>
        <v>0.26568187252583758</v>
      </c>
      <c r="BA378" s="202">
        <f t="shared" si="29"/>
        <v>0.26568187252583758</v>
      </c>
      <c r="BB378" s="202">
        <f t="shared" si="32"/>
        <v>1.3</v>
      </c>
      <c r="BC378" s="181"/>
      <c r="BD378" s="6"/>
      <c r="BF378" s="6"/>
      <c r="BH378" s="6"/>
      <c r="BJ378" s="6"/>
      <c r="BL378" s="6"/>
      <c r="BM378" s="6"/>
      <c r="BN378" s="6"/>
      <c r="BS378" s="8"/>
      <c r="BU378" s="8"/>
      <c r="BV378" s="8"/>
      <c r="BW378" s="8"/>
      <c r="BX378" s="8"/>
      <c r="BY378" s="8"/>
      <c r="BZ378" s="8"/>
      <c r="CA378" s="8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</row>
    <row r="379" spans="2:183" s="76" customFormat="1" ht="12" customHeight="1">
      <c r="B379" s="8"/>
      <c r="C379" s="8"/>
      <c r="D379" s="75"/>
      <c r="E379" s="75"/>
      <c r="F379" s="75"/>
      <c r="G379" s="75"/>
      <c r="H379" s="75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6"/>
      <c r="AQ379" s="179"/>
      <c r="AR379" s="180"/>
      <c r="AS379" s="180"/>
      <c r="AT379" s="180"/>
      <c r="AU379" s="180"/>
      <c r="AV379" s="183">
        <v>7.4999999999999698</v>
      </c>
      <c r="AW379" s="185">
        <f t="shared" si="30"/>
        <v>5.5466666666667115E-2</v>
      </c>
      <c r="AX379" s="201">
        <f t="shared" si="28"/>
        <v>5.5466666666667115E-2</v>
      </c>
      <c r="AY379" s="187">
        <v>3.75</v>
      </c>
      <c r="AZ379" s="189">
        <f t="shared" si="31"/>
        <v>0.26568187252583758</v>
      </c>
      <c r="BA379" s="202">
        <f t="shared" si="29"/>
        <v>0.26568187252583758</v>
      </c>
      <c r="BB379" s="202">
        <f t="shared" si="32"/>
        <v>1.3</v>
      </c>
      <c r="BC379" s="181"/>
      <c r="BD379" s="6"/>
      <c r="BF379" s="6"/>
      <c r="BH379" s="6"/>
      <c r="BJ379" s="6"/>
      <c r="BL379" s="6"/>
      <c r="BM379" s="6"/>
      <c r="BN379" s="6"/>
      <c r="BS379" s="8"/>
      <c r="BU379" s="8"/>
      <c r="BV379" s="8"/>
      <c r="BW379" s="8"/>
      <c r="BX379" s="8"/>
      <c r="BY379" s="8"/>
      <c r="BZ379" s="8"/>
      <c r="CA379" s="8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</row>
    <row r="380" spans="2:183" s="76" customFormat="1" ht="12" customHeight="1">
      <c r="B380" s="8"/>
      <c r="C380" s="8"/>
      <c r="D380" s="75"/>
      <c r="E380" s="75"/>
      <c r="F380" s="75"/>
      <c r="G380" s="75"/>
      <c r="H380" s="75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6"/>
      <c r="AQ380" s="179"/>
      <c r="AR380" s="180"/>
      <c r="AS380" s="180"/>
      <c r="AT380" s="180"/>
      <c r="AU380" s="180"/>
      <c r="AV380" s="182"/>
      <c r="AW380" s="184"/>
      <c r="AX380" s="180"/>
      <c r="AY380" s="187">
        <v>3.76</v>
      </c>
      <c r="AZ380" s="189">
        <f t="shared" si="31"/>
        <v>0.26568187252583758</v>
      </c>
      <c r="BA380" s="202">
        <f t="shared" si="29"/>
        <v>0.26568187252583758</v>
      </c>
      <c r="BB380" s="202">
        <f t="shared" si="32"/>
        <v>1.3</v>
      </c>
      <c r="BC380" s="181"/>
      <c r="BD380" s="6"/>
      <c r="BF380" s="6"/>
      <c r="BH380" s="6"/>
      <c r="BJ380" s="6"/>
      <c r="BL380" s="6"/>
      <c r="BM380" s="6"/>
      <c r="BN380" s="6"/>
      <c r="BS380" s="8"/>
      <c r="BU380" s="8"/>
      <c r="BV380" s="8"/>
      <c r="BW380" s="8"/>
      <c r="BX380" s="8"/>
      <c r="BY380" s="8"/>
      <c r="BZ380" s="8"/>
      <c r="CA380" s="8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</row>
    <row r="381" spans="2:183" s="76" customFormat="1" ht="12" customHeight="1">
      <c r="B381" s="8"/>
      <c r="C381" s="8"/>
      <c r="D381" s="75"/>
      <c r="E381" s="75"/>
      <c r="F381" s="75"/>
      <c r="G381" s="75"/>
      <c r="H381" s="75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6"/>
      <c r="AQ381" s="179"/>
      <c r="AR381" s="180"/>
      <c r="AS381" s="180"/>
      <c r="AT381" s="180"/>
      <c r="AU381" s="180"/>
      <c r="AV381" s="182"/>
      <c r="AW381" s="184"/>
      <c r="AX381" s="180"/>
      <c r="AY381" s="187">
        <v>3.77</v>
      </c>
      <c r="AZ381" s="189">
        <f t="shared" si="31"/>
        <v>0.26568187252583758</v>
      </c>
      <c r="BA381" s="202">
        <f t="shared" si="29"/>
        <v>0.26568187252583758</v>
      </c>
      <c r="BB381" s="202">
        <f t="shared" si="32"/>
        <v>1.3</v>
      </c>
      <c r="BC381" s="181"/>
      <c r="BD381" s="6"/>
      <c r="BF381" s="6"/>
      <c r="BH381" s="6"/>
      <c r="BJ381" s="6"/>
      <c r="BL381" s="6"/>
      <c r="BM381" s="6"/>
      <c r="BN381" s="6"/>
      <c r="BS381" s="8"/>
      <c r="BU381" s="8"/>
      <c r="BV381" s="8"/>
      <c r="BW381" s="8"/>
      <c r="BX381" s="8"/>
      <c r="BY381" s="8"/>
      <c r="BZ381" s="8"/>
      <c r="CA381" s="8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</row>
    <row r="382" spans="2:183" s="76" customFormat="1" ht="12" customHeight="1">
      <c r="B382" s="8"/>
      <c r="C382" s="8"/>
      <c r="D382" s="75"/>
      <c r="E382" s="75"/>
      <c r="F382" s="75"/>
      <c r="G382" s="75"/>
      <c r="H382" s="75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6"/>
      <c r="AQ382" s="179"/>
      <c r="AR382" s="180"/>
      <c r="AS382" s="180"/>
      <c r="AT382" s="180"/>
      <c r="AU382" s="180"/>
      <c r="AV382" s="182"/>
      <c r="AW382" s="184"/>
      <c r="AX382" s="180"/>
      <c r="AY382" s="187">
        <v>3.78</v>
      </c>
      <c r="AZ382" s="189">
        <f t="shared" si="31"/>
        <v>0.26568187252583758</v>
      </c>
      <c r="BA382" s="202">
        <f t="shared" si="29"/>
        <v>0.26568187252583758</v>
      </c>
      <c r="BB382" s="202">
        <f t="shared" si="32"/>
        <v>1.3</v>
      </c>
      <c r="BC382" s="181"/>
      <c r="BD382" s="6"/>
      <c r="BF382" s="6"/>
      <c r="BH382" s="6"/>
      <c r="BJ382" s="6"/>
      <c r="BL382" s="6"/>
      <c r="BM382" s="6"/>
      <c r="BN382" s="6"/>
      <c r="BS382" s="8"/>
      <c r="BU382" s="8"/>
      <c r="BV382" s="8"/>
      <c r="BW382" s="8"/>
      <c r="BX382" s="8"/>
      <c r="BY382" s="8"/>
      <c r="BZ382" s="8"/>
      <c r="CA382" s="8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</row>
    <row r="383" spans="2:183" s="76" customFormat="1" ht="12" customHeight="1">
      <c r="B383" s="8"/>
      <c r="C383" s="8"/>
      <c r="D383" s="75"/>
      <c r="E383" s="75"/>
      <c r="F383" s="75"/>
      <c r="G383" s="75"/>
      <c r="H383" s="75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6"/>
      <c r="AQ383" s="179"/>
      <c r="AR383" s="180"/>
      <c r="AS383" s="180"/>
      <c r="AT383" s="180"/>
      <c r="AU383" s="180"/>
      <c r="AV383" s="182"/>
      <c r="AW383" s="184"/>
      <c r="AX383" s="180"/>
      <c r="AY383" s="187">
        <v>3.79</v>
      </c>
      <c r="AZ383" s="189">
        <f t="shared" si="31"/>
        <v>0.26568187252583758</v>
      </c>
      <c r="BA383" s="202">
        <f t="shared" si="29"/>
        <v>0.26568187252583758</v>
      </c>
      <c r="BB383" s="202">
        <f t="shared" si="32"/>
        <v>1.3</v>
      </c>
      <c r="BC383" s="181"/>
      <c r="BD383" s="6"/>
      <c r="BF383" s="6"/>
      <c r="BH383" s="6"/>
      <c r="BJ383" s="6"/>
      <c r="BL383" s="6"/>
      <c r="BM383" s="6"/>
      <c r="BN383" s="6"/>
      <c r="BS383" s="8"/>
      <c r="BU383" s="8"/>
      <c r="BV383" s="8"/>
      <c r="BW383" s="8"/>
      <c r="BX383" s="8"/>
      <c r="BY383" s="8"/>
      <c r="BZ383" s="8"/>
      <c r="CA383" s="8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</row>
    <row r="384" spans="2:183" s="76" customFormat="1" ht="12" customHeight="1">
      <c r="B384" s="8"/>
      <c r="C384" s="8"/>
      <c r="D384" s="75"/>
      <c r="E384" s="75"/>
      <c r="F384" s="75"/>
      <c r="G384" s="75"/>
      <c r="H384" s="75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6"/>
      <c r="AQ384" s="179"/>
      <c r="AR384" s="180"/>
      <c r="AS384" s="180"/>
      <c r="AT384" s="180"/>
      <c r="AU384" s="180"/>
      <c r="AV384" s="182"/>
      <c r="AW384" s="184"/>
      <c r="AX384" s="180"/>
      <c r="AY384" s="187">
        <v>3.8</v>
      </c>
      <c r="AZ384" s="189">
        <f t="shared" si="31"/>
        <v>0.26568187252583758</v>
      </c>
      <c r="BA384" s="202">
        <f t="shared" si="29"/>
        <v>0.26568187252583758</v>
      </c>
      <c r="BB384" s="202">
        <f t="shared" si="32"/>
        <v>1.3</v>
      </c>
      <c r="BC384" s="181"/>
      <c r="BD384" s="6"/>
      <c r="BF384" s="6"/>
      <c r="BH384" s="6"/>
      <c r="BJ384" s="6"/>
      <c r="BL384" s="6"/>
      <c r="BM384" s="6"/>
      <c r="BN384" s="6"/>
      <c r="BS384" s="8"/>
      <c r="BU384" s="8"/>
      <c r="BV384" s="8"/>
      <c r="BW384" s="8"/>
      <c r="BX384" s="8"/>
      <c r="BY384" s="8"/>
      <c r="BZ384" s="8"/>
      <c r="CA384" s="8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</row>
    <row r="385" spans="2:183" s="76" customFormat="1" ht="12" customHeight="1">
      <c r="B385" s="8"/>
      <c r="C385" s="8"/>
      <c r="D385" s="75"/>
      <c r="E385" s="75"/>
      <c r="F385" s="75"/>
      <c r="G385" s="75"/>
      <c r="H385" s="75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6"/>
      <c r="AQ385" s="179"/>
      <c r="AR385" s="180"/>
      <c r="AS385" s="180"/>
      <c r="AT385" s="180"/>
      <c r="AU385" s="180"/>
      <c r="AV385" s="182"/>
      <c r="AW385" s="184"/>
      <c r="AX385" s="180"/>
      <c r="AY385" s="187">
        <v>3.81</v>
      </c>
      <c r="AZ385" s="189">
        <f t="shared" si="31"/>
        <v>0.26568187252583758</v>
      </c>
      <c r="BA385" s="202">
        <f t="shared" si="29"/>
        <v>0.26568187252583758</v>
      </c>
      <c r="BB385" s="202">
        <f t="shared" si="32"/>
        <v>1.3</v>
      </c>
      <c r="BC385" s="181"/>
      <c r="BD385" s="6"/>
      <c r="BF385" s="6"/>
      <c r="BH385" s="6"/>
      <c r="BJ385" s="6"/>
      <c r="BL385" s="6"/>
      <c r="BM385" s="6"/>
      <c r="BN385" s="6"/>
      <c r="BS385" s="8"/>
      <c r="BU385" s="8"/>
      <c r="BV385" s="8"/>
      <c r="BW385" s="8"/>
      <c r="BX385" s="8"/>
      <c r="BY385" s="8"/>
      <c r="BZ385" s="8"/>
      <c r="CA385" s="8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</row>
    <row r="386" spans="2:183" s="76" customFormat="1" ht="12" customHeight="1">
      <c r="B386" s="8"/>
      <c r="C386" s="8"/>
      <c r="D386" s="75"/>
      <c r="E386" s="75"/>
      <c r="F386" s="75"/>
      <c r="G386" s="75"/>
      <c r="H386" s="75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6"/>
      <c r="AQ386" s="179"/>
      <c r="AR386" s="180"/>
      <c r="AS386" s="180"/>
      <c r="AT386" s="180"/>
      <c r="AU386" s="180"/>
      <c r="AV386" s="182"/>
      <c r="AW386" s="184"/>
      <c r="AX386" s="180"/>
      <c r="AY386" s="187">
        <v>3.82</v>
      </c>
      <c r="AZ386" s="189">
        <f t="shared" si="31"/>
        <v>0.26568187252583758</v>
      </c>
      <c r="BA386" s="202">
        <f t="shared" si="29"/>
        <v>0.26568187252583758</v>
      </c>
      <c r="BB386" s="202">
        <f t="shared" si="32"/>
        <v>1.3</v>
      </c>
      <c r="BC386" s="181"/>
      <c r="BD386" s="6"/>
      <c r="BF386" s="6"/>
      <c r="BH386" s="6"/>
      <c r="BJ386" s="6"/>
      <c r="BL386" s="6"/>
      <c r="BM386" s="6"/>
      <c r="BN386" s="6"/>
      <c r="BS386" s="8"/>
      <c r="BU386" s="8"/>
      <c r="BV386" s="8"/>
      <c r="BW386" s="8"/>
      <c r="BX386" s="8"/>
      <c r="BY386" s="8"/>
      <c r="BZ386" s="8"/>
      <c r="CA386" s="8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</row>
    <row r="387" spans="2:183" s="76" customFormat="1" ht="12" customHeight="1">
      <c r="B387" s="8"/>
      <c r="C387" s="8"/>
      <c r="D387" s="75"/>
      <c r="E387" s="75"/>
      <c r="F387" s="75"/>
      <c r="G387" s="75"/>
      <c r="H387" s="75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6"/>
      <c r="AQ387" s="179"/>
      <c r="AR387" s="180"/>
      <c r="AS387" s="180"/>
      <c r="AT387" s="180"/>
      <c r="AU387" s="180"/>
      <c r="AV387" s="182"/>
      <c r="AW387" s="184"/>
      <c r="AX387" s="180"/>
      <c r="AY387" s="187">
        <v>3.83</v>
      </c>
      <c r="AZ387" s="189">
        <f t="shared" si="31"/>
        <v>0.26568187252583758</v>
      </c>
      <c r="BA387" s="202">
        <f t="shared" si="29"/>
        <v>0.26568187252583758</v>
      </c>
      <c r="BB387" s="202">
        <f t="shared" si="32"/>
        <v>1.3</v>
      </c>
      <c r="BC387" s="181"/>
      <c r="BD387" s="6"/>
      <c r="BF387" s="6"/>
      <c r="BH387" s="6"/>
      <c r="BJ387" s="6"/>
      <c r="BL387" s="6"/>
      <c r="BM387" s="6"/>
      <c r="BN387" s="6"/>
      <c r="BS387" s="8"/>
      <c r="BU387" s="8"/>
      <c r="BV387" s="8"/>
      <c r="BW387" s="8"/>
      <c r="BX387" s="8"/>
      <c r="BY387" s="8"/>
      <c r="BZ387" s="8"/>
      <c r="CA387" s="8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</row>
    <row r="388" spans="2:183" s="76" customFormat="1" ht="12" customHeight="1">
      <c r="B388" s="8"/>
      <c r="C388" s="8"/>
      <c r="D388" s="75"/>
      <c r="E388" s="75"/>
      <c r="F388" s="75"/>
      <c r="G388" s="75"/>
      <c r="H388" s="75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6"/>
      <c r="AQ388" s="179"/>
      <c r="AR388" s="180"/>
      <c r="AS388" s="180"/>
      <c r="AT388" s="180"/>
      <c r="AU388" s="180"/>
      <c r="AV388" s="182"/>
      <c r="AW388" s="184"/>
      <c r="AX388" s="180"/>
      <c r="AY388" s="187">
        <v>3.84</v>
      </c>
      <c r="AZ388" s="189">
        <f t="shared" si="31"/>
        <v>0.26568187252583758</v>
      </c>
      <c r="BA388" s="202">
        <f t="shared" ref="BA388:BA404" si="33">IF(OR(AY388&lt;0.025,AY388=0.025),0.65*AI$179*(AJ$108/BB388),IF(AND(AY388&gt;0.025,OR(AY388&lt;0.05,AY388=0.05)),(16*AI$179*(AJ$108/BB388)*(AY388-0.025))+(0.65*AI$179*(AJ$108/BB388)),IF(AND(AY388&gt;0.05,OR(AY388&lt;0.1,AY388=0.1)),1.05*AI$179*AJ$108/BB388,IF(AND(AY388&gt;0.1,OR(AY388&lt;2,AY388=2)),MAX(0.5*AJ$108/BB388,(1.05*AI$179*AJ$108/BB388)*((0.1/AY388)^0.5)),IF(AY388&gt;2,0.5*AJ$108/BB388,"Error")))))</f>
        <v>0.26568187252583758</v>
      </c>
      <c r="BB388" s="202">
        <f t="shared" si="32"/>
        <v>1.3</v>
      </c>
      <c r="BC388" s="181"/>
      <c r="BD388" s="6"/>
      <c r="BF388" s="6"/>
      <c r="BH388" s="6"/>
      <c r="BJ388" s="6"/>
      <c r="BL388" s="6"/>
      <c r="BM388" s="6"/>
      <c r="BN388" s="6"/>
      <c r="BS388" s="8"/>
      <c r="BU388" s="8"/>
      <c r="BV388" s="8"/>
      <c r="BW388" s="8"/>
      <c r="BX388" s="8"/>
      <c r="BY388" s="8"/>
      <c r="BZ388" s="8"/>
      <c r="CA388" s="8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</row>
    <row r="389" spans="2:183" s="76" customFormat="1" ht="12" customHeight="1">
      <c r="B389" s="8"/>
      <c r="C389" s="8"/>
      <c r="D389" s="75"/>
      <c r="E389" s="75"/>
      <c r="F389" s="75"/>
      <c r="G389" s="75"/>
      <c r="H389" s="75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6"/>
      <c r="AQ389" s="179"/>
      <c r="AR389" s="180"/>
      <c r="AS389" s="180"/>
      <c r="AT389" s="180"/>
      <c r="AU389" s="180"/>
      <c r="AV389" s="182"/>
      <c r="AW389" s="184"/>
      <c r="AX389" s="180"/>
      <c r="AY389" s="187">
        <v>3.85</v>
      </c>
      <c r="AZ389" s="189">
        <f t="shared" ref="AZ389:AZ404" si="34">BA389</f>
        <v>0.26568187252583758</v>
      </c>
      <c r="BA389" s="202">
        <f t="shared" si="33"/>
        <v>0.26568187252583758</v>
      </c>
      <c r="BB389" s="202">
        <f t="shared" si="32"/>
        <v>1.3</v>
      </c>
      <c r="BC389" s="181"/>
      <c r="BD389" s="6"/>
      <c r="BF389" s="6"/>
      <c r="BH389" s="6"/>
      <c r="BJ389" s="6"/>
      <c r="BL389" s="6"/>
      <c r="BM389" s="6"/>
      <c r="BN389" s="6"/>
      <c r="BS389" s="8"/>
      <c r="BU389" s="8"/>
      <c r="BV389" s="8"/>
      <c r="BW389" s="8"/>
      <c r="BX389" s="8"/>
      <c r="BY389" s="8"/>
      <c r="BZ389" s="8"/>
      <c r="CA389" s="8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</row>
    <row r="390" spans="2:183" s="76" customFormat="1" ht="12" customHeight="1">
      <c r="B390" s="8"/>
      <c r="C390" s="8"/>
      <c r="D390" s="75"/>
      <c r="E390" s="75"/>
      <c r="F390" s="75"/>
      <c r="G390" s="75"/>
      <c r="H390" s="75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6"/>
      <c r="AQ390" s="179"/>
      <c r="AR390" s="180"/>
      <c r="AS390" s="180"/>
      <c r="AT390" s="180"/>
      <c r="AU390" s="180"/>
      <c r="AV390" s="182"/>
      <c r="AW390" s="184"/>
      <c r="AX390" s="180"/>
      <c r="AY390" s="187">
        <v>3.86</v>
      </c>
      <c r="AZ390" s="189">
        <f t="shared" si="34"/>
        <v>0.26568187252583758</v>
      </c>
      <c r="BA390" s="202">
        <f t="shared" si="33"/>
        <v>0.26568187252583758</v>
      </c>
      <c r="BB390" s="202">
        <f t="shared" si="32"/>
        <v>1.3</v>
      </c>
      <c r="BC390" s="181"/>
      <c r="BD390" s="6"/>
      <c r="BF390" s="6"/>
      <c r="BH390" s="6"/>
      <c r="BJ390" s="6"/>
      <c r="BL390" s="6"/>
      <c r="BM390" s="6"/>
      <c r="BN390" s="6"/>
      <c r="BS390" s="8"/>
      <c r="BU390" s="8"/>
      <c r="BV390" s="8"/>
      <c r="BW390" s="8"/>
      <c r="BX390" s="8"/>
      <c r="BY390" s="8"/>
      <c r="BZ390" s="8"/>
      <c r="CA390" s="8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</row>
    <row r="391" spans="2:183" s="76" customFormat="1" ht="12" customHeight="1">
      <c r="B391" s="8"/>
      <c r="C391" s="8"/>
      <c r="D391" s="75"/>
      <c r="E391" s="75"/>
      <c r="F391" s="75"/>
      <c r="G391" s="75"/>
      <c r="H391" s="75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6"/>
      <c r="AQ391" s="179"/>
      <c r="AR391" s="180"/>
      <c r="AS391" s="180"/>
      <c r="AT391" s="180"/>
      <c r="AU391" s="180"/>
      <c r="AV391" s="182"/>
      <c r="AW391" s="184"/>
      <c r="AX391" s="180"/>
      <c r="AY391" s="187">
        <v>3.87</v>
      </c>
      <c r="AZ391" s="189">
        <f t="shared" si="34"/>
        <v>0.26568187252583758</v>
      </c>
      <c r="BA391" s="202">
        <f t="shared" si="33"/>
        <v>0.26568187252583758</v>
      </c>
      <c r="BB391" s="202">
        <f t="shared" si="32"/>
        <v>1.3</v>
      </c>
      <c r="BC391" s="181"/>
      <c r="BD391" s="6"/>
      <c r="BF391" s="6"/>
      <c r="BH391" s="6"/>
      <c r="BJ391" s="6"/>
      <c r="BL391" s="6"/>
      <c r="BM391" s="6"/>
      <c r="BN391" s="6"/>
      <c r="BS391" s="8"/>
      <c r="BU391" s="8"/>
      <c r="BV391" s="8"/>
      <c r="BW391" s="8"/>
      <c r="BX391" s="8"/>
      <c r="BY391" s="8"/>
      <c r="BZ391" s="8"/>
      <c r="CA391" s="8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</row>
    <row r="392" spans="2:183" s="76" customFormat="1" ht="12" customHeight="1">
      <c r="B392" s="8"/>
      <c r="C392" s="8"/>
      <c r="D392" s="75"/>
      <c r="E392" s="75"/>
      <c r="F392" s="75"/>
      <c r="G392" s="75"/>
      <c r="H392" s="75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6"/>
      <c r="AQ392" s="179"/>
      <c r="AR392" s="180"/>
      <c r="AS392" s="180"/>
      <c r="AT392" s="180"/>
      <c r="AU392" s="180"/>
      <c r="AV392" s="182"/>
      <c r="AW392" s="184"/>
      <c r="AX392" s="180"/>
      <c r="AY392" s="187">
        <v>3.88</v>
      </c>
      <c r="AZ392" s="189">
        <f t="shared" si="34"/>
        <v>0.26568187252583758</v>
      </c>
      <c r="BA392" s="202">
        <f t="shared" si="33"/>
        <v>0.26568187252583758</v>
      </c>
      <c r="BB392" s="202">
        <f t="shared" si="32"/>
        <v>1.3</v>
      </c>
      <c r="BC392" s="181"/>
      <c r="BD392" s="6"/>
      <c r="BF392" s="6"/>
      <c r="BH392" s="6"/>
      <c r="BJ392" s="6"/>
      <c r="BL392" s="6"/>
      <c r="BM392" s="6"/>
      <c r="BN392" s="6"/>
      <c r="BS392" s="8"/>
      <c r="BU392" s="8"/>
      <c r="BV392" s="8"/>
      <c r="BW392" s="8"/>
      <c r="BX392" s="8"/>
      <c r="BY392" s="8"/>
      <c r="BZ392" s="8"/>
      <c r="CA392" s="8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</row>
    <row r="393" spans="2:183" s="76" customFormat="1" ht="12" customHeight="1">
      <c r="B393" s="8"/>
      <c r="C393" s="8"/>
      <c r="D393" s="75"/>
      <c r="E393" s="75"/>
      <c r="F393" s="75"/>
      <c r="G393" s="75"/>
      <c r="H393" s="75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6"/>
      <c r="AQ393" s="179"/>
      <c r="AR393" s="180"/>
      <c r="AS393" s="180"/>
      <c r="AT393" s="180"/>
      <c r="AU393" s="180"/>
      <c r="AV393" s="182"/>
      <c r="AW393" s="184"/>
      <c r="AX393" s="180"/>
      <c r="AY393" s="187">
        <v>3.89</v>
      </c>
      <c r="AZ393" s="189">
        <f t="shared" si="34"/>
        <v>0.26568187252583758</v>
      </c>
      <c r="BA393" s="202">
        <f t="shared" si="33"/>
        <v>0.26568187252583758</v>
      </c>
      <c r="BB393" s="202">
        <f t="shared" si="32"/>
        <v>1.3</v>
      </c>
      <c r="BC393" s="181"/>
      <c r="BD393" s="6"/>
      <c r="BF393" s="6"/>
      <c r="BH393" s="6"/>
      <c r="BJ393" s="6"/>
      <c r="BL393" s="6"/>
      <c r="BM393" s="6"/>
      <c r="BN393" s="6"/>
      <c r="BS393" s="8"/>
      <c r="BU393" s="8"/>
      <c r="BV393" s="8"/>
      <c r="BW393" s="8"/>
      <c r="BX393" s="8"/>
      <c r="BY393" s="8"/>
      <c r="BZ393" s="8"/>
      <c r="CA393" s="8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</row>
    <row r="394" spans="2:183" s="76" customFormat="1" ht="12" customHeight="1">
      <c r="B394" s="8"/>
      <c r="C394" s="8"/>
      <c r="D394" s="75"/>
      <c r="E394" s="75"/>
      <c r="F394" s="75"/>
      <c r="G394" s="75"/>
      <c r="H394" s="75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6"/>
      <c r="AQ394" s="179"/>
      <c r="AR394" s="180"/>
      <c r="AS394" s="180"/>
      <c r="AT394" s="180"/>
      <c r="AU394" s="180"/>
      <c r="AV394" s="182"/>
      <c r="AW394" s="184"/>
      <c r="AX394" s="180"/>
      <c r="AY394" s="187">
        <v>3.9</v>
      </c>
      <c r="AZ394" s="189">
        <f t="shared" si="34"/>
        <v>0.26568187252583758</v>
      </c>
      <c r="BA394" s="202">
        <f t="shared" si="33"/>
        <v>0.26568187252583758</v>
      </c>
      <c r="BB394" s="202">
        <f t="shared" si="32"/>
        <v>1.3</v>
      </c>
      <c r="BC394" s="181"/>
      <c r="BD394" s="6"/>
      <c r="BF394" s="6"/>
      <c r="BH394" s="6"/>
      <c r="BJ394" s="6"/>
      <c r="BL394" s="6"/>
      <c r="BM394" s="6"/>
      <c r="BN394" s="6"/>
      <c r="BS394" s="8"/>
      <c r="BU394" s="8"/>
      <c r="BV394" s="8"/>
      <c r="BW394" s="8"/>
      <c r="BX394" s="8"/>
      <c r="BY394" s="8"/>
      <c r="BZ394" s="8"/>
      <c r="CA394" s="8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</row>
    <row r="395" spans="2:183" s="76" customFormat="1" ht="12" customHeight="1">
      <c r="B395" s="8"/>
      <c r="C395" s="8"/>
      <c r="D395" s="75"/>
      <c r="E395" s="75"/>
      <c r="F395" s="75"/>
      <c r="G395" s="75"/>
      <c r="H395" s="75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6"/>
      <c r="AQ395" s="179"/>
      <c r="AR395" s="180"/>
      <c r="AS395" s="180"/>
      <c r="AT395" s="180"/>
      <c r="AU395" s="180"/>
      <c r="AV395" s="182"/>
      <c r="AW395" s="184"/>
      <c r="AX395" s="180"/>
      <c r="AY395" s="187">
        <v>3.91</v>
      </c>
      <c r="AZ395" s="189">
        <f t="shared" si="34"/>
        <v>0.26568187252583758</v>
      </c>
      <c r="BA395" s="202">
        <f t="shared" si="33"/>
        <v>0.26568187252583758</v>
      </c>
      <c r="BB395" s="202">
        <f t="shared" si="32"/>
        <v>1.3</v>
      </c>
      <c r="BC395" s="181"/>
      <c r="BD395" s="6"/>
      <c r="BF395" s="6"/>
      <c r="BH395" s="6"/>
      <c r="BJ395" s="6"/>
      <c r="BL395" s="6"/>
      <c r="BM395" s="6"/>
      <c r="BN395" s="6"/>
      <c r="BS395" s="8"/>
      <c r="BU395" s="8"/>
      <c r="BV395" s="8"/>
      <c r="BW395" s="8"/>
      <c r="BX395" s="8"/>
      <c r="BY395" s="8"/>
      <c r="BZ395" s="8"/>
      <c r="CA395" s="8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</row>
    <row r="396" spans="2:183" s="76" customFormat="1" ht="12" customHeight="1">
      <c r="B396" s="8"/>
      <c r="C396" s="8"/>
      <c r="D396" s="75"/>
      <c r="E396" s="75"/>
      <c r="F396" s="75"/>
      <c r="G396" s="75"/>
      <c r="H396" s="75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6"/>
      <c r="AQ396" s="179"/>
      <c r="AR396" s="180"/>
      <c r="AS396" s="180"/>
      <c r="AT396" s="180"/>
      <c r="AU396" s="180"/>
      <c r="AV396" s="182"/>
      <c r="AW396" s="184"/>
      <c r="AX396" s="180"/>
      <c r="AY396" s="187">
        <v>3.92</v>
      </c>
      <c r="AZ396" s="189">
        <f t="shared" si="34"/>
        <v>0.26568187252583758</v>
      </c>
      <c r="BA396" s="202">
        <f t="shared" si="33"/>
        <v>0.26568187252583758</v>
      </c>
      <c r="BB396" s="202">
        <f t="shared" si="32"/>
        <v>1.3</v>
      </c>
      <c r="BC396" s="181"/>
      <c r="BD396" s="6"/>
      <c r="BF396" s="6"/>
      <c r="BH396" s="6"/>
      <c r="BJ396" s="6"/>
      <c r="BL396" s="6"/>
      <c r="BM396" s="6"/>
      <c r="BN396" s="6"/>
      <c r="BS396" s="8"/>
      <c r="BU396" s="8"/>
      <c r="BV396" s="8"/>
      <c r="BW396" s="8"/>
      <c r="BX396" s="8"/>
      <c r="BY396" s="8"/>
      <c r="BZ396" s="8"/>
      <c r="CA396" s="8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</row>
    <row r="397" spans="2:183" s="76" customFormat="1" ht="12" customHeight="1">
      <c r="B397" s="8"/>
      <c r="C397" s="8"/>
      <c r="D397" s="75"/>
      <c r="E397" s="75"/>
      <c r="F397" s="75"/>
      <c r="G397" s="75"/>
      <c r="H397" s="75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6"/>
      <c r="AQ397" s="179"/>
      <c r="AR397" s="180"/>
      <c r="AS397" s="180"/>
      <c r="AT397" s="180"/>
      <c r="AU397" s="180"/>
      <c r="AV397" s="182"/>
      <c r="AW397" s="184"/>
      <c r="AX397" s="180"/>
      <c r="AY397" s="187">
        <v>3.93</v>
      </c>
      <c r="AZ397" s="189">
        <f t="shared" si="34"/>
        <v>0.26568187252583758</v>
      </c>
      <c r="BA397" s="202">
        <f t="shared" si="33"/>
        <v>0.26568187252583758</v>
      </c>
      <c r="BB397" s="202">
        <f t="shared" si="32"/>
        <v>1.3</v>
      </c>
      <c r="BC397" s="181"/>
      <c r="BD397" s="6"/>
      <c r="BF397" s="6"/>
      <c r="BH397" s="6"/>
      <c r="BJ397" s="6"/>
      <c r="BL397" s="6"/>
      <c r="BM397" s="6"/>
      <c r="BN397" s="6"/>
      <c r="BS397" s="8"/>
      <c r="BU397" s="8"/>
      <c r="BV397" s="8"/>
      <c r="BW397" s="8"/>
      <c r="BX397" s="8"/>
      <c r="BY397" s="8"/>
      <c r="BZ397" s="8"/>
      <c r="CA397" s="8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</row>
    <row r="398" spans="2:183" s="76" customFormat="1" ht="12" customHeight="1">
      <c r="B398" s="8"/>
      <c r="C398" s="8"/>
      <c r="D398" s="75"/>
      <c r="E398" s="75"/>
      <c r="F398" s="75"/>
      <c r="G398" s="75"/>
      <c r="H398" s="75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6"/>
      <c r="AQ398" s="179"/>
      <c r="AR398" s="180"/>
      <c r="AS398" s="180"/>
      <c r="AT398" s="180"/>
      <c r="AU398" s="180"/>
      <c r="AV398" s="182"/>
      <c r="AW398" s="184"/>
      <c r="AX398" s="180"/>
      <c r="AY398" s="187">
        <v>3.94</v>
      </c>
      <c r="AZ398" s="189">
        <f t="shared" si="34"/>
        <v>0.26568187252583758</v>
      </c>
      <c r="BA398" s="202">
        <f t="shared" si="33"/>
        <v>0.26568187252583758</v>
      </c>
      <c r="BB398" s="202">
        <f t="shared" si="32"/>
        <v>1.3</v>
      </c>
      <c r="BC398" s="181"/>
      <c r="BD398" s="6"/>
      <c r="BF398" s="6"/>
      <c r="BH398" s="6"/>
      <c r="BJ398" s="6"/>
      <c r="BL398" s="6"/>
      <c r="BM398" s="6"/>
      <c r="BN398" s="6"/>
      <c r="BS398" s="8"/>
      <c r="BU398" s="8"/>
      <c r="BV398" s="8"/>
      <c r="BW398" s="8"/>
      <c r="BX398" s="8"/>
      <c r="BY398" s="8"/>
      <c r="BZ398" s="8"/>
      <c r="CA398" s="8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</row>
    <row r="399" spans="2:183" s="76" customFormat="1" ht="12" customHeight="1">
      <c r="B399" s="8"/>
      <c r="C399" s="8"/>
      <c r="D399" s="75"/>
      <c r="E399" s="75"/>
      <c r="F399" s="75"/>
      <c r="G399" s="75"/>
      <c r="H399" s="75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6"/>
      <c r="AQ399" s="179"/>
      <c r="AR399" s="180"/>
      <c r="AS399" s="180"/>
      <c r="AT399" s="180"/>
      <c r="AU399" s="180"/>
      <c r="AV399" s="182"/>
      <c r="AW399" s="184"/>
      <c r="AX399" s="180"/>
      <c r="AY399" s="187">
        <v>3.95</v>
      </c>
      <c r="AZ399" s="189">
        <f t="shared" si="34"/>
        <v>0.26568187252583758</v>
      </c>
      <c r="BA399" s="202">
        <f t="shared" si="33"/>
        <v>0.26568187252583758</v>
      </c>
      <c r="BB399" s="202">
        <f t="shared" si="32"/>
        <v>1.3</v>
      </c>
      <c r="BC399" s="181"/>
      <c r="BD399" s="6"/>
      <c r="BF399" s="6"/>
      <c r="BH399" s="6"/>
      <c r="BJ399" s="6"/>
      <c r="BL399" s="6"/>
      <c r="BM399" s="6"/>
      <c r="BN399" s="6"/>
      <c r="BS399" s="8"/>
      <c r="BU399" s="8"/>
      <c r="BV399" s="8"/>
      <c r="BW399" s="8"/>
      <c r="BX399" s="8"/>
      <c r="BY399" s="8"/>
      <c r="BZ399" s="8"/>
      <c r="CA399" s="8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</row>
    <row r="400" spans="2:183" s="76" customFormat="1" ht="12" customHeight="1">
      <c r="B400" s="8"/>
      <c r="C400" s="8"/>
      <c r="D400" s="75"/>
      <c r="E400" s="75"/>
      <c r="F400" s="75"/>
      <c r="G400" s="75"/>
      <c r="H400" s="75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6"/>
      <c r="AQ400" s="179"/>
      <c r="AR400" s="180"/>
      <c r="AS400" s="180"/>
      <c r="AT400" s="180"/>
      <c r="AU400" s="180"/>
      <c r="AV400" s="182"/>
      <c r="AW400" s="184"/>
      <c r="AX400" s="180"/>
      <c r="AY400" s="187">
        <v>3.96</v>
      </c>
      <c r="AZ400" s="189">
        <f t="shared" si="34"/>
        <v>0.26568187252583758</v>
      </c>
      <c r="BA400" s="202">
        <f t="shared" si="33"/>
        <v>0.26568187252583758</v>
      </c>
      <c r="BB400" s="202">
        <f t="shared" si="32"/>
        <v>1.3</v>
      </c>
      <c r="BC400" s="181"/>
      <c r="BD400" s="6"/>
      <c r="BF400" s="6"/>
      <c r="BH400" s="6"/>
      <c r="BJ400" s="6"/>
      <c r="BL400" s="6"/>
      <c r="BM400" s="6"/>
      <c r="BN400" s="6"/>
      <c r="BS400" s="8"/>
      <c r="BU400" s="8"/>
      <c r="BV400" s="8"/>
      <c r="BW400" s="8"/>
      <c r="BX400" s="8"/>
      <c r="BY400" s="8"/>
      <c r="BZ400" s="8"/>
      <c r="CA400" s="8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</row>
    <row r="401" spans="2:183" s="76" customFormat="1" ht="12" customHeight="1">
      <c r="B401" s="8"/>
      <c r="C401" s="8"/>
      <c r="D401" s="75"/>
      <c r="E401" s="75"/>
      <c r="F401" s="75"/>
      <c r="G401" s="75"/>
      <c r="H401" s="75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6"/>
      <c r="AQ401" s="179"/>
      <c r="AR401" s="180"/>
      <c r="AS401" s="180"/>
      <c r="AT401" s="180"/>
      <c r="AU401" s="180"/>
      <c r="AV401" s="182"/>
      <c r="AW401" s="184"/>
      <c r="AX401" s="180"/>
      <c r="AY401" s="187">
        <v>3.97</v>
      </c>
      <c r="AZ401" s="189">
        <f t="shared" si="34"/>
        <v>0.26568187252583758</v>
      </c>
      <c r="BA401" s="202">
        <f t="shared" si="33"/>
        <v>0.26568187252583758</v>
      </c>
      <c r="BB401" s="202">
        <f t="shared" si="32"/>
        <v>1.3</v>
      </c>
      <c r="BC401" s="181"/>
      <c r="BD401" s="6"/>
      <c r="BF401" s="6"/>
      <c r="BH401" s="6"/>
      <c r="BJ401" s="6"/>
      <c r="BL401" s="6"/>
      <c r="BM401" s="6"/>
      <c r="BN401" s="6"/>
      <c r="BS401" s="8"/>
      <c r="BU401" s="8"/>
      <c r="BV401" s="8"/>
      <c r="BW401" s="8"/>
      <c r="BX401" s="8"/>
      <c r="BY401" s="8"/>
      <c r="BZ401" s="8"/>
      <c r="CA401" s="8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</row>
    <row r="402" spans="2:183" s="76" customFormat="1" ht="12" customHeight="1">
      <c r="B402" s="8"/>
      <c r="C402" s="8"/>
      <c r="D402" s="75"/>
      <c r="E402" s="75"/>
      <c r="F402" s="75"/>
      <c r="G402" s="75"/>
      <c r="H402" s="75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6"/>
      <c r="AQ402" s="179"/>
      <c r="AR402" s="180"/>
      <c r="AS402" s="180"/>
      <c r="AT402" s="180"/>
      <c r="AU402" s="180"/>
      <c r="AV402" s="182"/>
      <c r="AW402" s="184"/>
      <c r="AX402" s="180"/>
      <c r="AY402" s="187">
        <v>3.98</v>
      </c>
      <c r="AZ402" s="189">
        <f t="shared" si="34"/>
        <v>0.26568187252583758</v>
      </c>
      <c r="BA402" s="202">
        <f t="shared" si="33"/>
        <v>0.26568187252583758</v>
      </c>
      <c r="BB402" s="202">
        <f t="shared" si="32"/>
        <v>1.3</v>
      </c>
      <c r="BC402" s="181"/>
      <c r="BD402" s="6"/>
      <c r="BF402" s="6"/>
      <c r="BH402" s="6"/>
      <c r="BJ402" s="6"/>
      <c r="BL402" s="6"/>
      <c r="BM402" s="6"/>
      <c r="BN402" s="6"/>
      <c r="BS402" s="8"/>
      <c r="BU402" s="8"/>
      <c r="BV402" s="8"/>
      <c r="BW402" s="8"/>
      <c r="BX402" s="8"/>
      <c r="BY402" s="8"/>
      <c r="BZ402" s="8"/>
      <c r="CA402" s="8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</row>
    <row r="403" spans="2:183" s="76" customFormat="1" ht="12" customHeight="1">
      <c r="B403" s="8"/>
      <c r="C403" s="8"/>
      <c r="D403" s="75"/>
      <c r="E403" s="75"/>
      <c r="F403" s="75"/>
      <c r="G403" s="75"/>
      <c r="H403" s="75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6"/>
      <c r="AQ403" s="179"/>
      <c r="AR403" s="180"/>
      <c r="AS403" s="180"/>
      <c r="AT403" s="180"/>
      <c r="AU403" s="180"/>
      <c r="AV403" s="182"/>
      <c r="AW403" s="184"/>
      <c r="AX403" s="180"/>
      <c r="AY403" s="187">
        <v>3.99</v>
      </c>
      <c r="AZ403" s="189">
        <f t="shared" si="34"/>
        <v>0.26568187252583758</v>
      </c>
      <c r="BA403" s="202">
        <f t="shared" si="33"/>
        <v>0.26568187252583758</v>
      </c>
      <c r="BB403" s="202">
        <f t="shared" si="32"/>
        <v>1.3</v>
      </c>
      <c r="BC403" s="181"/>
      <c r="BD403" s="6"/>
      <c r="BF403" s="6"/>
      <c r="BH403" s="6"/>
      <c r="BJ403" s="6"/>
      <c r="BL403" s="6"/>
      <c r="BM403" s="6"/>
      <c r="BN403" s="6"/>
      <c r="BS403" s="8"/>
      <c r="BU403" s="8"/>
      <c r="BV403" s="8"/>
      <c r="BW403" s="8"/>
      <c r="BX403" s="8"/>
      <c r="BY403" s="8"/>
      <c r="BZ403" s="8"/>
      <c r="CA403" s="8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</row>
    <row r="404" spans="2:183" s="76" customFormat="1" ht="12" customHeight="1">
      <c r="B404" s="8"/>
      <c r="C404" s="8"/>
      <c r="D404" s="75"/>
      <c r="E404" s="75"/>
      <c r="F404" s="75"/>
      <c r="G404" s="75"/>
      <c r="H404" s="75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6"/>
      <c r="AQ404" s="179"/>
      <c r="AR404" s="180"/>
      <c r="AS404" s="180"/>
      <c r="AT404" s="180"/>
      <c r="AU404" s="180"/>
      <c r="AV404" s="182"/>
      <c r="AW404" s="184"/>
      <c r="AX404" s="180"/>
      <c r="AY404" s="187">
        <v>4</v>
      </c>
      <c r="AZ404" s="189">
        <f t="shared" si="34"/>
        <v>0.26568187252583758</v>
      </c>
      <c r="BA404" s="202">
        <f t="shared" si="33"/>
        <v>0.26568187252583758</v>
      </c>
      <c r="BB404" s="202">
        <f t="shared" si="32"/>
        <v>1.3</v>
      </c>
      <c r="BC404" s="181"/>
      <c r="BD404" s="6"/>
      <c r="BF404" s="6"/>
      <c r="BH404" s="6"/>
      <c r="BJ404" s="6"/>
      <c r="BL404" s="6"/>
      <c r="BM404" s="6"/>
      <c r="BN404" s="6"/>
      <c r="BS404" s="8"/>
      <c r="BU404" s="8"/>
      <c r="BV404" s="8"/>
      <c r="BW404" s="8"/>
      <c r="BX404" s="8"/>
      <c r="BY404" s="8"/>
      <c r="BZ404" s="8"/>
      <c r="CA404" s="8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</row>
    <row r="405" spans="2:183" s="76" customFormat="1" ht="12" customHeight="1">
      <c r="B405" s="8"/>
      <c r="C405" s="8"/>
      <c r="D405" s="75"/>
      <c r="E405" s="75"/>
      <c r="F405" s="75"/>
      <c r="G405" s="75"/>
      <c r="H405" s="75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6"/>
      <c r="AQ405" s="179"/>
      <c r="AR405" s="180"/>
      <c r="AS405" s="180"/>
      <c r="AT405" s="180"/>
      <c r="AU405" s="180"/>
      <c r="AV405" s="182"/>
      <c r="AW405" s="184"/>
      <c r="AX405" s="180"/>
      <c r="AY405" s="186"/>
      <c r="AZ405" s="188"/>
      <c r="BA405" s="202"/>
      <c r="BB405" s="202"/>
      <c r="BC405" s="181"/>
      <c r="BD405" s="6"/>
      <c r="BF405" s="6"/>
      <c r="BH405" s="6"/>
      <c r="BJ405" s="6"/>
      <c r="BL405" s="6"/>
      <c r="BM405" s="6"/>
      <c r="BN405" s="6"/>
      <c r="BS405" s="8"/>
      <c r="BU405" s="8"/>
      <c r="BV405" s="8"/>
      <c r="BW405" s="8"/>
      <c r="BX405" s="8"/>
      <c r="BY405" s="8"/>
      <c r="BZ405" s="8"/>
      <c r="CA405" s="8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</row>
    <row r="406" spans="2:183" s="76" customFormat="1" ht="12" customHeight="1">
      <c r="B406" s="8"/>
      <c r="C406" s="8"/>
      <c r="D406" s="75"/>
      <c r="E406" s="75"/>
      <c r="F406" s="75"/>
      <c r="G406" s="75"/>
      <c r="H406" s="75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6"/>
      <c r="AQ406" s="179"/>
      <c r="AR406" s="180"/>
      <c r="AS406" s="180"/>
      <c r="AT406" s="180"/>
      <c r="AU406" s="180"/>
      <c r="AV406" s="182"/>
      <c r="AW406" s="184"/>
      <c r="AX406" s="180"/>
      <c r="AY406" s="186"/>
      <c r="AZ406" s="188"/>
      <c r="BA406" s="202"/>
      <c r="BB406" s="202"/>
      <c r="BC406" s="181"/>
      <c r="BD406" s="6"/>
      <c r="BF406" s="6"/>
      <c r="BH406" s="6"/>
      <c r="BJ406" s="6"/>
      <c r="BL406" s="6"/>
      <c r="BM406" s="6"/>
      <c r="BN406" s="6"/>
      <c r="BS406" s="8"/>
      <c r="BU406" s="8"/>
      <c r="BV406" s="8"/>
      <c r="BW406" s="8"/>
      <c r="BX406" s="8"/>
      <c r="BY406" s="8"/>
      <c r="BZ406" s="8"/>
      <c r="CA406" s="8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</row>
    <row r="407" spans="2:183" s="76" customFormat="1" ht="12" customHeight="1">
      <c r="B407" s="8"/>
      <c r="C407" s="8"/>
      <c r="D407" s="75"/>
      <c r="E407" s="75"/>
      <c r="F407" s="75"/>
      <c r="G407" s="75"/>
      <c r="H407" s="75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6"/>
      <c r="AQ407" s="179"/>
      <c r="AR407" s="180"/>
      <c r="AS407" s="180"/>
      <c r="AT407" s="180"/>
      <c r="AU407" s="180"/>
      <c r="AV407" s="182"/>
      <c r="AW407" s="184"/>
      <c r="AX407" s="180"/>
      <c r="AY407" s="186"/>
      <c r="AZ407" s="188"/>
      <c r="BA407" s="202"/>
      <c r="BB407" s="202"/>
      <c r="BC407" s="181"/>
      <c r="BD407" s="6"/>
      <c r="BF407" s="6"/>
      <c r="BH407" s="6"/>
      <c r="BJ407" s="6"/>
      <c r="BL407" s="6"/>
      <c r="BM407" s="6"/>
      <c r="BN407" s="6"/>
      <c r="BS407" s="8"/>
      <c r="BU407" s="8"/>
      <c r="BV407" s="8"/>
      <c r="BW407" s="8"/>
      <c r="BX407" s="8"/>
      <c r="BY407" s="8"/>
      <c r="BZ407" s="8"/>
      <c r="CA407" s="8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</row>
    <row r="408" spans="2:183" s="76" customFormat="1" ht="12" customHeight="1">
      <c r="B408" s="8"/>
      <c r="C408" s="8"/>
      <c r="D408" s="75"/>
      <c r="E408" s="75"/>
      <c r="F408" s="75"/>
      <c r="G408" s="75"/>
      <c r="H408" s="75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6"/>
      <c r="AQ408" s="179"/>
      <c r="AR408" s="180"/>
      <c r="AS408" s="180"/>
      <c r="AT408" s="180"/>
      <c r="AU408" s="180"/>
      <c r="AV408" s="182"/>
      <c r="AW408" s="184"/>
      <c r="AX408" s="180"/>
      <c r="AY408" s="186"/>
      <c r="AZ408" s="188"/>
      <c r="BA408" s="202"/>
      <c r="BB408" s="202"/>
      <c r="BC408" s="181"/>
      <c r="BD408" s="6"/>
      <c r="BF408" s="6"/>
      <c r="BH408" s="6"/>
      <c r="BJ408" s="6"/>
      <c r="BL408" s="6"/>
      <c r="BM408" s="6"/>
      <c r="BN408" s="6"/>
      <c r="BS408" s="8"/>
      <c r="BU408" s="8"/>
      <c r="BV408" s="8"/>
      <c r="BW408" s="8"/>
      <c r="BX408" s="8"/>
      <c r="BY408" s="8"/>
      <c r="BZ408" s="8"/>
      <c r="CA408" s="8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</row>
    <row r="409" spans="2:183" s="76" customFormat="1" ht="12" customHeight="1">
      <c r="B409" s="8"/>
      <c r="C409" s="8"/>
      <c r="D409" s="75"/>
      <c r="E409" s="75"/>
      <c r="F409" s="75"/>
      <c r="G409" s="75"/>
      <c r="H409" s="75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6"/>
      <c r="AQ409" s="179"/>
      <c r="AR409" s="180"/>
      <c r="AS409" s="180"/>
      <c r="AT409" s="180"/>
      <c r="AU409" s="180"/>
      <c r="AV409" s="182"/>
      <c r="AW409" s="184"/>
      <c r="AX409" s="180"/>
      <c r="AY409" s="186"/>
      <c r="AZ409" s="188"/>
      <c r="BA409" s="202"/>
      <c r="BB409" s="202"/>
      <c r="BC409" s="181"/>
      <c r="BD409" s="6"/>
      <c r="BF409" s="6"/>
      <c r="BH409" s="6"/>
      <c r="BJ409" s="6"/>
      <c r="BL409" s="6"/>
      <c r="BM409" s="6"/>
      <c r="BN409" s="6"/>
      <c r="BS409" s="8"/>
      <c r="BU409" s="8"/>
      <c r="BV409" s="8"/>
      <c r="BW409" s="8"/>
      <c r="BX409" s="8"/>
      <c r="BY409" s="8"/>
      <c r="BZ409" s="8"/>
      <c r="CA409" s="8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</row>
    <row r="410" spans="2:183" s="76" customFormat="1" ht="12" customHeight="1">
      <c r="B410" s="8"/>
      <c r="C410" s="8"/>
      <c r="D410" s="75"/>
      <c r="E410" s="75"/>
      <c r="F410" s="75"/>
      <c r="G410" s="75"/>
      <c r="H410" s="75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6"/>
      <c r="AQ410" s="179"/>
      <c r="AR410" s="180"/>
      <c r="AS410" s="180"/>
      <c r="AT410" s="180"/>
      <c r="AU410" s="180"/>
      <c r="AV410" s="182"/>
      <c r="AW410" s="184"/>
      <c r="AX410" s="180"/>
      <c r="AY410" s="186"/>
      <c r="AZ410" s="188"/>
      <c r="BA410" s="202"/>
      <c r="BB410" s="202"/>
      <c r="BC410" s="181"/>
      <c r="BD410" s="6"/>
      <c r="BF410" s="6"/>
      <c r="BH410" s="6"/>
      <c r="BJ410" s="6"/>
      <c r="BL410" s="6"/>
      <c r="BM410" s="6"/>
      <c r="BN410" s="6"/>
      <c r="BS410" s="8"/>
      <c r="BU410" s="8"/>
      <c r="BV410" s="8"/>
      <c r="BW410" s="8"/>
      <c r="BX410" s="8"/>
      <c r="BY410" s="8"/>
      <c r="BZ410" s="8"/>
      <c r="CA410" s="8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</row>
    <row r="411" spans="2:183" s="76" customFormat="1" ht="12" customHeight="1">
      <c r="B411" s="8"/>
      <c r="C411" s="8"/>
      <c r="D411" s="75"/>
      <c r="E411" s="75"/>
      <c r="F411" s="75"/>
      <c r="G411" s="75"/>
      <c r="H411" s="75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6"/>
      <c r="AQ411" s="179"/>
      <c r="AR411" s="180"/>
      <c r="AS411" s="180"/>
      <c r="AT411" s="180"/>
      <c r="AU411" s="180"/>
      <c r="AV411" s="182"/>
      <c r="AW411" s="184"/>
      <c r="AX411" s="180"/>
      <c r="AY411" s="186"/>
      <c r="AZ411" s="188"/>
      <c r="BA411" s="202"/>
      <c r="BB411" s="202"/>
      <c r="BC411" s="181"/>
      <c r="BD411" s="6"/>
      <c r="BF411" s="6"/>
      <c r="BH411" s="6"/>
      <c r="BJ411" s="6"/>
      <c r="BL411" s="6"/>
      <c r="BM411" s="6"/>
      <c r="BN411" s="6"/>
      <c r="BS411" s="8"/>
      <c r="BU411" s="8"/>
      <c r="BV411" s="8"/>
      <c r="BW411" s="8"/>
      <c r="BX411" s="8"/>
      <c r="BY411" s="8"/>
      <c r="BZ411" s="8"/>
      <c r="CA411" s="8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</row>
    <row r="412" spans="2:183" s="76" customFormat="1" ht="12" customHeight="1">
      <c r="B412" s="8"/>
      <c r="C412" s="8"/>
      <c r="D412" s="75"/>
      <c r="E412" s="75"/>
      <c r="F412" s="75"/>
      <c r="G412" s="75"/>
      <c r="H412" s="75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6"/>
      <c r="AQ412" s="179"/>
      <c r="AR412" s="180"/>
      <c r="AS412" s="180"/>
      <c r="AT412" s="180"/>
      <c r="AU412" s="180"/>
      <c r="AV412" s="182"/>
      <c r="AW412" s="184"/>
      <c r="AX412" s="180"/>
      <c r="AY412" s="186"/>
      <c r="AZ412" s="188"/>
      <c r="BA412" s="202"/>
      <c r="BB412" s="202"/>
      <c r="BC412" s="181"/>
      <c r="BD412" s="6"/>
      <c r="BF412" s="6"/>
      <c r="BH412" s="6"/>
      <c r="BJ412" s="6"/>
      <c r="BL412" s="6"/>
      <c r="BM412" s="6"/>
      <c r="BN412" s="6"/>
      <c r="BS412" s="8"/>
      <c r="BU412" s="8"/>
      <c r="BV412" s="8"/>
      <c r="BW412" s="8"/>
      <c r="BX412" s="8"/>
      <c r="BY412" s="8"/>
      <c r="BZ412" s="8"/>
      <c r="CA412" s="8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</row>
    <row r="413" spans="2:183" s="76" customFormat="1" ht="12" customHeight="1">
      <c r="B413" s="8"/>
      <c r="C413" s="8"/>
      <c r="D413" s="75"/>
      <c r="E413" s="75"/>
      <c r="F413" s="75"/>
      <c r="G413" s="75"/>
      <c r="H413" s="75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6"/>
      <c r="AQ413" s="179"/>
      <c r="AR413" s="180"/>
      <c r="AS413" s="180"/>
      <c r="AT413" s="180"/>
      <c r="AU413" s="180"/>
      <c r="AV413" s="182"/>
      <c r="AW413" s="184"/>
      <c r="AX413" s="180"/>
      <c r="AY413" s="186"/>
      <c r="AZ413" s="188"/>
      <c r="BA413" s="202"/>
      <c r="BB413" s="202"/>
      <c r="BC413" s="181"/>
      <c r="BD413" s="6"/>
      <c r="BF413" s="6"/>
      <c r="BH413" s="6"/>
      <c r="BJ413" s="6"/>
      <c r="BL413" s="6"/>
      <c r="BM413" s="6"/>
      <c r="BN413" s="6"/>
      <c r="BS413" s="8"/>
      <c r="BU413" s="8"/>
      <c r="BV413" s="8"/>
      <c r="BW413" s="8"/>
      <c r="BX413" s="8"/>
      <c r="BY413" s="8"/>
      <c r="BZ413" s="8"/>
      <c r="CA413" s="8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</row>
    <row r="414" spans="2:183" s="76" customFormat="1" ht="12" customHeight="1">
      <c r="B414" s="8"/>
      <c r="C414" s="8"/>
      <c r="D414" s="75"/>
      <c r="E414" s="75"/>
      <c r="F414" s="75"/>
      <c r="G414" s="75"/>
      <c r="H414" s="75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6"/>
      <c r="AQ414" s="179"/>
      <c r="AR414" s="180"/>
      <c r="AS414" s="180"/>
      <c r="AT414" s="180"/>
      <c r="AU414" s="180"/>
      <c r="AV414" s="182"/>
      <c r="AW414" s="184"/>
      <c r="AX414" s="180"/>
      <c r="AY414" s="186"/>
      <c r="AZ414" s="188"/>
      <c r="BA414" s="202"/>
      <c r="BB414" s="202"/>
      <c r="BC414" s="181"/>
      <c r="BD414" s="6"/>
      <c r="BF414" s="6"/>
      <c r="BH414" s="6"/>
      <c r="BJ414" s="6"/>
      <c r="BL414" s="6"/>
      <c r="BM414" s="6"/>
      <c r="BN414" s="6"/>
      <c r="BS414" s="8"/>
      <c r="BU414" s="8"/>
      <c r="BV414" s="8"/>
      <c r="BW414" s="8"/>
      <c r="BX414" s="8"/>
      <c r="BY414" s="8"/>
      <c r="BZ414" s="8"/>
      <c r="CA414" s="8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</row>
    <row r="415" spans="2:183" s="76" customFormat="1" ht="12" customHeight="1">
      <c r="B415" s="8"/>
      <c r="C415" s="8"/>
      <c r="D415" s="75"/>
      <c r="E415" s="75"/>
      <c r="F415" s="75"/>
      <c r="G415" s="75"/>
      <c r="H415" s="75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6"/>
      <c r="AQ415" s="179"/>
      <c r="AR415" s="180"/>
      <c r="AS415" s="180"/>
      <c r="AT415" s="180"/>
      <c r="AU415" s="180"/>
      <c r="AV415" s="182"/>
      <c r="AW415" s="184"/>
      <c r="AX415" s="180"/>
      <c r="AY415" s="186"/>
      <c r="AZ415" s="188"/>
      <c r="BA415" s="202"/>
      <c r="BB415" s="202"/>
      <c r="BC415" s="181"/>
      <c r="BD415" s="6"/>
      <c r="BF415" s="6"/>
      <c r="BH415" s="6"/>
      <c r="BJ415" s="6"/>
      <c r="BL415" s="6"/>
      <c r="BM415" s="6"/>
      <c r="BN415" s="6"/>
      <c r="BS415" s="8"/>
      <c r="BU415" s="8"/>
      <c r="BV415" s="8"/>
      <c r="BW415" s="8"/>
      <c r="BX415" s="8"/>
      <c r="BY415" s="8"/>
      <c r="BZ415" s="8"/>
      <c r="CA415" s="8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</row>
    <row r="416" spans="2:183" s="76" customFormat="1" ht="12" customHeight="1">
      <c r="B416" s="8"/>
      <c r="C416" s="8"/>
      <c r="D416" s="75"/>
      <c r="E416" s="75"/>
      <c r="F416" s="75"/>
      <c r="G416" s="75"/>
      <c r="H416" s="75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6"/>
      <c r="AQ416" s="179"/>
      <c r="AR416" s="180"/>
      <c r="AS416" s="180"/>
      <c r="AT416" s="180"/>
      <c r="AU416" s="180"/>
      <c r="AV416" s="182"/>
      <c r="AW416" s="184"/>
      <c r="AX416" s="180"/>
      <c r="AY416" s="186"/>
      <c r="AZ416" s="188"/>
      <c r="BA416" s="202"/>
      <c r="BB416" s="202"/>
      <c r="BC416" s="181"/>
      <c r="BD416" s="6"/>
      <c r="BF416" s="6"/>
      <c r="BH416" s="6"/>
      <c r="BJ416" s="6"/>
      <c r="BL416" s="6"/>
      <c r="BM416" s="6"/>
      <c r="BN416" s="6"/>
      <c r="BS416" s="8"/>
      <c r="BU416" s="8"/>
      <c r="BV416" s="8"/>
      <c r="BW416" s="8"/>
      <c r="BX416" s="8"/>
      <c r="BY416" s="8"/>
      <c r="BZ416" s="8"/>
      <c r="CA416" s="8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</row>
    <row r="417" spans="2:183" s="76" customFormat="1" ht="12" customHeight="1">
      <c r="B417" s="8"/>
      <c r="C417" s="8"/>
      <c r="D417" s="75"/>
      <c r="E417" s="75"/>
      <c r="F417" s="75"/>
      <c r="G417" s="75"/>
      <c r="H417" s="75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6"/>
      <c r="AQ417" s="179"/>
      <c r="AR417" s="180"/>
      <c r="AS417" s="180"/>
      <c r="AT417" s="180"/>
      <c r="AU417" s="180"/>
      <c r="AV417" s="182"/>
      <c r="AW417" s="184"/>
      <c r="AX417" s="180"/>
      <c r="AY417" s="186"/>
      <c r="AZ417" s="188"/>
      <c r="BA417" s="202"/>
      <c r="BB417" s="202"/>
      <c r="BC417" s="181"/>
      <c r="BD417" s="6"/>
      <c r="BF417" s="6"/>
      <c r="BH417" s="6"/>
      <c r="BJ417" s="6"/>
      <c r="BL417" s="6"/>
      <c r="BM417" s="6"/>
      <c r="BN417" s="6"/>
      <c r="BS417" s="8"/>
      <c r="BU417" s="8"/>
      <c r="BV417" s="8"/>
      <c r="BW417" s="8"/>
      <c r="BX417" s="8"/>
      <c r="BY417" s="8"/>
      <c r="BZ417" s="8"/>
      <c r="CA417" s="8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</row>
    <row r="418" spans="2:183" s="76" customFormat="1" ht="12" customHeight="1">
      <c r="B418" s="8"/>
      <c r="C418" s="8"/>
      <c r="D418" s="75"/>
      <c r="E418" s="75"/>
      <c r="F418" s="75"/>
      <c r="G418" s="75"/>
      <c r="H418" s="75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6"/>
      <c r="AQ418" s="179"/>
      <c r="AR418" s="180"/>
      <c r="AS418" s="180"/>
      <c r="AT418" s="180"/>
      <c r="AU418" s="180"/>
      <c r="AV418" s="182"/>
      <c r="AW418" s="184"/>
      <c r="AX418" s="180"/>
      <c r="AY418" s="186"/>
      <c r="AZ418" s="188"/>
      <c r="BA418" s="202"/>
      <c r="BB418" s="202"/>
      <c r="BC418" s="181"/>
      <c r="BD418" s="6"/>
      <c r="BF418" s="6"/>
      <c r="BH418" s="6"/>
      <c r="BJ418" s="6"/>
      <c r="BL418" s="6"/>
      <c r="BM418" s="6"/>
      <c r="BN418" s="6"/>
      <c r="BS418" s="8"/>
      <c r="BU418" s="8"/>
      <c r="BV418" s="8"/>
      <c r="BW418" s="8"/>
      <c r="BX418" s="8"/>
      <c r="BY418" s="8"/>
      <c r="BZ418" s="8"/>
      <c r="CA418" s="8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</row>
    <row r="419" spans="2:183" s="76" customFormat="1" ht="12" customHeight="1">
      <c r="B419" s="8"/>
      <c r="C419" s="8"/>
      <c r="D419" s="75"/>
      <c r="E419" s="75"/>
      <c r="F419" s="75"/>
      <c r="G419" s="75"/>
      <c r="H419" s="75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6"/>
      <c r="AQ419" s="179"/>
      <c r="AR419" s="180"/>
      <c r="AS419" s="180"/>
      <c r="AT419" s="180"/>
      <c r="AU419" s="180"/>
      <c r="AV419" s="182"/>
      <c r="AW419" s="184"/>
      <c r="AX419" s="180"/>
      <c r="AY419" s="186"/>
      <c r="AZ419" s="188"/>
      <c r="BA419" s="202"/>
      <c r="BB419" s="202"/>
      <c r="BC419" s="181"/>
      <c r="BD419" s="6"/>
      <c r="BF419" s="6"/>
      <c r="BH419" s="6"/>
      <c r="BJ419" s="6"/>
      <c r="BL419" s="6"/>
      <c r="BM419" s="6"/>
      <c r="BN419" s="6"/>
      <c r="BS419" s="8"/>
      <c r="BU419" s="8"/>
      <c r="BV419" s="8"/>
      <c r="BW419" s="8"/>
      <c r="BX419" s="8"/>
      <c r="BY419" s="8"/>
      <c r="BZ419" s="8"/>
      <c r="CA419" s="8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</row>
    <row r="420" spans="2:183" s="76" customFormat="1" ht="12" customHeight="1">
      <c r="B420" s="8"/>
      <c r="C420" s="8"/>
      <c r="D420" s="75"/>
      <c r="E420" s="75"/>
      <c r="F420" s="75"/>
      <c r="G420" s="75"/>
      <c r="H420" s="75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6"/>
      <c r="AQ420" s="179"/>
      <c r="AR420" s="180"/>
      <c r="AS420" s="180"/>
      <c r="AT420" s="180"/>
      <c r="AU420" s="180"/>
      <c r="AV420" s="182"/>
      <c r="AW420" s="184"/>
      <c r="AX420" s="180"/>
      <c r="AY420" s="186"/>
      <c r="AZ420" s="188"/>
      <c r="BA420" s="202"/>
      <c r="BB420" s="202"/>
      <c r="BC420" s="181"/>
      <c r="BD420" s="6"/>
      <c r="BF420" s="6"/>
      <c r="BH420" s="6"/>
      <c r="BJ420" s="6"/>
      <c r="BL420" s="6"/>
      <c r="BM420" s="6"/>
      <c r="BN420" s="6"/>
      <c r="BS420" s="8"/>
      <c r="BU420" s="8"/>
      <c r="BV420" s="8"/>
      <c r="BW420" s="8"/>
      <c r="BX420" s="8"/>
      <c r="BY420" s="8"/>
      <c r="BZ420" s="8"/>
      <c r="CA420" s="8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</row>
    <row r="421" spans="2:183" s="76" customFormat="1" ht="12" customHeight="1">
      <c r="B421" s="8"/>
      <c r="C421" s="8"/>
      <c r="D421" s="75"/>
      <c r="E421" s="75"/>
      <c r="F421" s="75"/>
      <c r="G421" s="75"/>
      <c r="H421" s="75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6"/>
      <c r="AQ421" s="179"/>
      <c r="AR421" s="180"/>
      <c r="AS421" s="180"/>
      <c r="AT421" s="180"/>
      <c r="AU421" s="180"/>
      <c r="AV421" s="182"/>
      <c r="AW421" s="184"/>
      <c r="AX421" s="180"/>
      <c r="AY421" s="186"/>
      <c r="AZ421" s="188"/>
      <c r="BA421" s="202"/>
      <c r="BB421" s="202"/>
      <c r="BC421" s="181"/>
      <c r="BD421" s="6"/>
      <c r="BF421" s="6"/>
      <c r="BH421" s="6"/>
      <c r="BJ421" s="6"/>
      <c r="BL421" s="6"/>
      <c r="BM421" s="6"/>
      <c r="BN421" s="6"/>
      <c r="BS421" s="8"/>
      <c r="BU421" s="8"/>
      <c r="BV421" s="8"/>
      <c r="BW421" s="8"/>
      <c r="BX421" s="8"/>
      <c r="BY421" s="8"/>
      <c r="BZ421" s="8"/>
      <c r="CA421" s="8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</row>
    <row r="422" spans="2:183" s="76" customFormat="1" ht="12" customHeight="1">
      <c r="B422" s="8"/>
      <c r="C422" s="8"/>
      <c r="D422" s="75"/>
      <c r="E422" s="75"/>
      <c r="F422" s="75"/>
      <c r="G422" s="75"/>
      <c r="H422" s="75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6"/>
      <c r="AQ422" s="179"/>
      <c r="AR422" s="180"/>
      <c r="AS422" s="180"/>
      <c r="AT422" s="180"/>
      <c r="AU422" s="180"/>
      <c r="AV422" s="182"/>
      <c r="AW422" s="184"/>
      <c r="AX422" s="180"/>
      <c r="AY422" s="186"/>
      <c r="AZ422" s="188"/>
      <c r="BA422" s="202"/>
      <c r="BB422" s="202"/>
      <c r="BC422" s="181"/>
      <c r="BD422" s="6"/>
      <c r="BF422" s="6"/>
      <c r="BH422" s="6"/>
      <c r="BJ422" s="6"/>
      <c r="BL422" s="6"/>
      <c r="BM422" s="6"/>
      <c r="BN422" s="6"/>
      <c r="BS422" s="8"/>
      <c r="BU422" s="8"/>
      <c r="BV422" s="8"/>
      <c r="BW422" s="8"/>
      <c r="BX422" s="8"/>
      <c r="BY422" s="8"/>
      <c r="BZ422" s="8"/>
      <c r="CA422" s="8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</row>
    <row r="423" spans="2:183" s="76" customFormat="1" ht="12" customHeight="1">
      <c r="B423" s="8"/>
      <c r="C423" s="8"/>
      <c r="D423" s="75"/>
      <c r="E423" s="75"/>
      <c r="F423" s="75"/>
      <c r="G423" s="75"/>
      <c r="H423" s="75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6"/>
      <c r="AQ423" s="179"/>
      <c r="AR423" s="180"/>
      <c r="AS423" s="180"/>
      <c r="AT423" s="180"/>
      <c r="AU423" s="180"/>
      <c r="AV423" s="182"/>
      <c r="AW423" s="184"/>
      <c r="AX423" s="180"/>
      <c r="AY423" s="186"/>
      <c r="AZ423" s="188"/>
      <c r="BA423" s="202"/>
      <c r="BB423" s="202"/>
      <c r="BC423" s="181"/>
      <c r="BD423" s="6"/>
      <c r="BF423" s="6"/>
      <c r="BH423" s="6"/>
      <c r="BJ423" s="6"/>
      <c r="BL423" s="6"/>
      <c r="BM423" s="6"/>
      <c r="BN423" s="6"/>
      <c r="BS423" s="8"/>
      <c r="BU423" s="8"/>
      <c r="BV423" s="8"/>
      <c r="BW423" s="8"/>
      <c r="BX423" s="8"/>
      <c r="BY423" s="8"/>
      <c r="BZ423" s="8"/>
      <c r="CA423" s="8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</row>
    <row r="424" spans="2:183" s="76" customFormat="1" ht="12" customHeight="1">
      <c r="B424" s="8"/>
      <c r="C424" s="8"/>
      <c r="D424" s="75"/>
      <c r="E424" s="75"/>
      <c r="F424" s="75"/>
      <c r="G424" s="75"/>
      <c r="H424" s="75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6"/>
      <c r="AQ424" s="179"/>
      <c r="AR424" s="180"/>
      <c r="AS424" s="180"/>
      <c r="AT424" s="180"/>
      <c r="AU424" s="180"/>
      <c r="AV424" s="182"/>
      <c r="AW424" s="184"/>
      <c r="AX424" s="180"/>
      <c r="AY424" s="186"/>
      <c r="AZ424" s="188"/>
      <c r="BA424" s="202"/>
      <c r="BB424" s="202"/>
      <c r="BC424" s="181"/>
      <c r="BD424" s="6"/>
      <c r="BF424" s="6"/>
      <c r="BH424" s="6"/>
      <c r="BJ424" s="6"/>
      <c r="BL424" s="6"/>
      <c r="BM424" s="6"/>
      <c r="BN424" s="6"/>
      <c r="BS424" s="8"/>
      <c r="BU424" s="8"/>
      <c r="BV424" s="8"/>
      <c r="BW424" s="8"/>
      <c r="BX424" s="8"/>
      <c r="BY424" s="8"/>
      <c r="BZ424" s="8"/>
      <c r="CA424" s="8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</row>
    <row r="425" spans="2:183" s="76" customFormat="1" ht="12" customHeight="1">
      <c r="B425" s="8"/>
      <c r="C425" s="8"/>
      <c r="D425" s="75"/>
      <c r="E425" s="75"/>
      <c r="F425" s="75"/>
      <c r="G425" s="75"/>
      <c r="H425" s="75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6"/>
      <c r="AQ425" s="179"/>
      <c r="AR425" s="180"/>
      <c r="AS425" s="180"/>
      <c r="AT425" s="180"/>
      <c r="AU425" s="180"/>
      <c r="AV425" s="182"/>
      <c r="AW425" s="184"/>
      <c r="AX425" s="180"/>
      <c r="AY425" s="186"/>
      <c r="AZ425" s="188"/>
      <c r="BA425" s="202"/>
      <c r="BB425" s="202"/>
      <c r="BC425" s="181"/>
      <c r="BD425" s="6"/>
      <c r="BF425" s="6"/>
      <c r="BH425" s="6"/>
      <c r="BJ425" s="6"/>
      <c r="BL425" s="6"/>
      <c r="BM425" s="6"/>
      <c r="BN425" s="6"/>
      <c r="BS425" s="8"/>
      <c r="BU425" s="8"/>
      <c r="BV425" s="8"/>
      <c r="BW425" s="8"/>
      <c r="BX425" s="8"/>
      <c r="BY425" s="8"/>
      <c r="BZ425" s="8"/>
      <c r="CA425" s="8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</row>
    <row r="426" spans="2:183" s="76" customFormat="1" ht="12" customHeight="1">
      <c r="B426" s="8"/>
      <c r="C426" s="8"/>
      <c r="D426" s="75"/>
      <c r="E426" s="75"/>
      <c r="F426" s="75"/>
      <c r="G426" s="75"/>
      <c r="H426" s="75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6"/>
      <c r="AQ426" s="179"/>
      <c r="AR426" s="180"/>
      <c r="AS426" s="180"/>
      <c r="AT426" s="180"/>
      <c r="AU426" s="180"/>
      <c r="AV426" s="182"/>
      <c r="AW426" s="184"/>
      <c r="AX426" s="180"/>
      <c r="AY426" s="186"/>
      <c r="AZ426" s="188"/>
      <c r="BA426" s="202"/>
      <c r="BB426" s="202"/>
      <c r="BC426" s="181"/>
      <c r="BD426" s="6"/>
      <c r="BF426" s="6"/>
      <c r="BH426" s="6"/>
      <c r="BJ426" s="6"/>
      <c r="BL426" s="6"/>
      <c r="BM426" s="6"/>
      <c r="BN426" s="6"/>
      <c r="BS426" s="8"/>
      <c r="BU426" s="8"/>
      <c r="BV426" s="8"/>
      <c r="BW426" s="8"/>
      <c r="BX426" s="8"/>
      <c r="BY426" s="8"/>
      <c r="BZ426" s="8"/>
      <c r="CA426" s="8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</row>
    <row r="427" spans="2:183" s="76" customFormat="1" ht="12" customHeight="1">
      <c r="B427" s="8"/>
      <c r="C427" s="8"/>
      <c r="D427" s="75"/>
      <c r="E427" s="75"/>
      <c r="F427" s="75"/>
      <c r="G427" s="75"/>
      <c r="H427" s="75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6"/>
      <c r="AQ427" s="179"/>
      <c r="AR427" s="180"/>
      <c r="AS427" s="180"/>
      <c r="AT427" s="180"/>
      <c r="AU427" s="180"/>
      <c r="AV427" s="182"/>
      <c r="AW427" s="184"/>
      <c r="AX427" s="180"/>
      <c r="AY427" s="186"/>
      <c r="AZ427" s="188"/>
      <c r="BA427" s="202"/>
      <c r="BB427" s="202"/>
      <c r="BC427" s="181"/>
      <c r="BD427" s="6"/>
      <c r="BF427" s="6"/>
      <c r="BH427" s="6"/>
      <c r="BJ427" s="6"/>
      <c r="BL427" s="6"/>
      <c r="BM427" s="6"/>
      <c r="BN427" s="6"/>
      <c r="BS427" s="8"/>
      <c r="BU427" s="8"/>
      <c r="BV427" s="8"/>
      <c r="BW427" s="8"/>
      <c r="BX427" s="8"/>
      <c r="BY427" s="8"/>
      <c r="BZ427" s="8"/>
      <c r="CA427" s="8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</row>
    <row r="428" spans="2:183" s="76" customFormat="1" ht="12" customHeight="1">
      <c r="B428" s="8"/>
      <c r="C428" s="8"/>
      <c r="D428" s="75"/>
      <c r="E428" s="75"/>
      <c r="F428" s="75"/>
      <c r="G428" s="75"/>
      <c r="H428" s="75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6"/>
      <c r="AQ428" s="179"/>
      <c r="AR428" s="180"/>
      <c r="AS428" s="180"/>
      <c r="AT428" s="180"/>
      <c r="AU428" s="180"/>
      <c r="AV428" s="182"/>
      <c r="AW428" s="184"/>
      <c r="AX428" s="180"/>
      <c r="AY428" s="186"/>
      <c r="AZ428" s="188"/>
      <c r="BA428" s="202"/>
      <c r="BB428" s="202"/>
      <c r="BC428" s="181"/>
      <c r="BD428" s="6"/>
      <c r="BF428" s="6"/>
      <c r="BH428" s="6"/>
      <c r="BJ428" s="6"/>
      <c r="BL428" s="6"/>
      <c r="BM428" s="6"/>
      <c r="BN428" s="6"/>
      <c r="BS428" s="8"/>
      <c r="BU428" s="8"/>
      <c r="BV428" s="8"/>
      <c r="BW428" s="8"/>
      <c r="BX428" s="8"/>
      <c r="BY428" s="8"/>
      <c r="BZ428" s="8"/>
      <c r="CA428" s="8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</row>
    <row r="429" spans="2:183" s="76" customFormat="1" ht="12" customHeight="1">
      <c r="B429" s="8"/>
      <c r="C429" s="8"/>
      <c r="D429" s="75"/>
      <c r="E429" s="75"/>
      <c r="F429" s="75"/>
      <c r="G429" s="75"/>
      <c r="H429" s="75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6"/>
      <c r="AQ429" s="179"/>
      <c r="AR429" s="180"/>
      <c r="AS429" s="180"/>
      <c r="AT429" s="180"/>
      <c r="AU429" s="180"/>
      <c r="AV429" s="182"/>
      <c r="AW429" s="184"/>
      <c r="AX429" s="180"/>
      <c r="AY429" s="186"/>
      <c r="AZ429" s="188"/>
      <c r="BA429" s="202"/>
      <c r="BB429" s="202"/>
      <c r="BC429" s="181"/>
      <c r="BD429" s="6"/>
      <c r="BF429" s="6"/>
      <c r="BH429" s="6"/>
      <c r="BJ429" s="6"/>
      <c r="BL429" s="6"/>
      <c r="BM429" s="6"/>
      <c r="BN429" s="6"/>
      <c r="BS429" s="8"/>
      <c r="BU429" s="8"/>
      <c r="BV429" s="8"/>
      <c r="BW429" s="8"/>
      <c r="BX429" s="8"/>
      <c r="BY429" s="8"/>
      <c r="BZ429" s="8"/>
      <c r="CA429" s="8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</row>
    <row r="430" spans="2:183" s="76" customFormat="1" ht="12" customHeight="1">
      <c r="B430" s="8"/>
      <c r="C430" s="8"/>
      <c r="D430" s="75"/>
      <c r="E430" s="75"/>
      <c r="F430" s="75"/>
      <c r="G430" s="75"/>
      <c r="H430" s="75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6"/>
      <c r="AQ430" s="179"/>
      <c r="AR430" s="180"/>
      <c r="AS430" s="180"/>
      <c r="AT430" s="180"/>
      <c r="AU430" s="180"/>
      <c r="AV430" s="182"/>
      <c r="AW430" s="184"/>
      <c r="AX430" s="180"/>
      <c r="AY430" s="186"/>
      <c r="AZ430" s="188"/>
      <c r="BA430" s="202"/>
      <c r="BB430" s="202"/>
      <c r="BC430" s="181"/>
      <c r="BD430" s="6"/>
      <c r="BF430" s="6"/>
      <c r="BH430" s="6"/>
      <c r="BJ430" s="6"/>
      <c r="BL430" s="6"/>
      <c r="BM430" s="6"/>
      <c r="BN430" s="6"/>
      <c r="BS430" s="8"/>
      <c r="BU430" s="8"/>
      <c r="BV430" s="8"/>
      <c r="BW430" s="8"/>
      <c r="BX430" s="8"/>
      <c r="BY430" s="8"/>
      <c r="BZ430" s="8"/>
      <c r="CA430" s="8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</row>
    <row r="431" spans="2:183" s="76" customFormat="1" ht="12" customHeight="1">
      <c r="B431" s="8"/>
      <c r="C431" s="8"/>
      <c r="D431" s="75"/>
      <c r="E431" s="75"/>
      <c r="F431" s="75"/>
      <c r="G431" s="75"/>
      <c r="H431" s="75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6"/>
      <c r="AQ431" s="179"/>
      <c r="AR431" s="180"/>
      <c r="AS431" s="180"/>
      <c r="AT431" s="180"/>
      <c r="AU431" s="180"/>
      <c r="AV431" s="182"/>
      <c r="AW431" s="184"/>
      <c r="AX431" s="180"/>
      <c r="AY431" s="186"/>
      <c r="AZ431" s="188"/>
      <c r="BA431" s="202"/>
      <c r="BB431" s="202"/>
      <c r="BC431" s="181"/>
      <c r="BD431" s="6"/>
      <c r="BF431" s="6"/>
      <c r="BH431" s="6"/>
      <c r="BJ431" s="6"/>
      <c r="BL431" s="6"/>
      <c r="BM431" s="6"/>
      <c r="BN431" s="6"/>
      <c r="BS431" s="8"/>
      <c r="BU431" s="8"/>
      <c r="BV431" s="8"/>
      <c r="BW431" s="8"/>
      <c r="BX431" s="8"/>
      <c r="BY431" s="8"/>
      <c r="BZ431" s="8"/>
      <c r="CA431" s="8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</row>
    <row r="432" spans="2:183" s="76" customFormat="1" ht="12" customHeight="1">
      <c r="B432" s="8"/>
      <c r="C432" s="8"/>
      <c r="D432" s="75"/>
      <c r="E432" s="75"/>
      <c r="F432" s="75"/>
      <c r="G432" s="75"/>
      <c r="H432" s="75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6"/>
      <c r="AQ432" s="179"/>
      <c r="AR432" s="180"/>
      <c r="AS432" s="180"/>
      <c r="AT432" s="180"/>
      <c r="AU432" s="180"/>
      <c r="AV432" s="182"/>
      <c r="AW432" s="184"/>
      <c r="AX432" s="180"/>
      <c r="AY432" s="186"/>
      <c r="AZ432" s="188"/>
      <c r="BA432" s="202"/>
      <c r="BB432" s="202"/>
      <c r="BC432" s="181"/>
      <c r="BD432" s="6"/>
      <c r="BF432" s="6"/>
      <c r="BH432" s="6"/>
      <c r="BJ432" s="6"/>
      <c r="BL432" s="6"/>
      <c r="BM432" s="6"/>
      <c r="BN432" s="6"/>
      <c r="BS432" s="8"/>
      <c r="BU432" s="8"/>
      <c r="BV432" s="8"/>
      <c r="BW432" s="8"/>
      <c r="BX432" s="8"/>
      <c r="BY432" s="8"/>
      <c r="BZ432" s="8"/>
      <c r="CA432" s="8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  <c r="FW432" s="6"/>
      <c r="FX432" s="6"/>
      <c r="FY432" s="6"/>
      <c r="FZ432" s="6"/>
      <c r="GA432" s="6"/>
    </row>
    <row r="433" spans="1:183" s="76" customFormat="1" ht="12" customHeight="1">
      <c r="B433" s="8"/>
      <c r="C433" s="8"/>
      <c r="D433" s="75"/>
      <c r="E433" s="75"/>
      <c r="F433" s="75"/>
      <c r="G433" s="75"/>
      <c r="H433" s="75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6"/>
      <c r="AQ433" s="179"/>
      <c r="AR433" s="180"/>
      <c r="AS433" s="180"/>
      <c r="AT433" s="180"/>
      <c r="AU433" s="180"/>
      <c r="AV433" s="182"/>
      <c r="AW433" s="184"/>
      <c r="AX433" s="180"/>
      <c r="AY433" s="186"/>
      <c r="AZ433" s="188"/>
      <c r="BA433" s="202"/>
      <c r="BB433" s="202"/>
      <c r="BC433" s="181"/>
      <c r="BD433" s="6"/>
      <c r="BF433" s="6"/>
      <c r="BH433" s="6"/>
      <c r="BJ433" s="6"/>
      <c r="BL433" s="6"/>
      <c r="BM433" s="6"/>
      <c r="BN433" s="6"/>
      <c r="BS433" s="8"/>
      <c r="BU433" s="8"/>
      <c r="BV433" s="8"/>
      <c r="BW433" s="8"/>
      <c r="BX433" s="8"/>
      <c r="BY433" s="8"/>
      <c r="BZ433" s="8"/>
      <c r="CA433" s="8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</row>
    <row r="434" spans="1:183" s="76" customFormat="1" ht="12" customHeight="1">
      <c r="B434" s="8"/>
      <c r="C434" s="8"/>
      <c r="D434" s="75"/>
      <c r="E434" s="75"/>
      <c r="F434" s="75"/>
      <c r="G434" s="75"/>
      <c r="H434" s="75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6"/>
      <c r="AQ434" s="179"/>
      <c r="AR434" s="180"/>
      <c r="AS434" s="180"/>
      <c r="AT434" s="180"/>
      <c r="AU434" s="180"/>
      <c r="AV434" s="182"/>
      <c r="AW434" s="184"/>
      <c r="AX434" s="180"/>
      <c r="AY434" s="186"/>
      <c r="AZ434" s="188"/>
      <c r="BA434" s="202"/>
      <c r="BB434" s="202"/>
      <c r="BC434" s="181"/>
      <c r="BD434" s="6"/>
      <c r="BF434" s="6"/>
      <c r="BH434" s="6"/>
      <c r="BJ434" s="6"/>
      <c r="BL434" s="6"/>
      <c r="BM434" s="6"/>
      <c r="BN434" s="6"/>
      <c r="BS434" s="8"/>
      <c r="BU434" s="8"/>
      <c r="BV434" s="8"/>
      <c r="BW434" s="8"/>
      <c r="BX434" s="8"/>
      <c r="BY434" s="8"/>
      <c r="BZ434" s="8"/>
      <c r="CA434" s="8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</row>
    <row r="435" spans="1:183" s="76" customFormat="1" ht="12" customHeight="1">
      <c r="B435" s="8"/>
      <c r="C435" s="8"/>
      <c r="D435" s="75"/>
      <c r="E435" s="75"/>
      <c r="F435" s="75"/>
      <c r="G435" s="75"/>
      <c r="H435" s="75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6"/>
      <c r="AQ435" s="179"/>
      <c r="AR435" s="180"/>
      <c r="AS435" s="180"/>
      <c r="AT435" s="180"/>
      <c r="AU435" s="180"/>
      <c r="AV435" s="182"/>
      <c r="AW435" s="184"/>
      <c r="AX435" s="180"/>
      <c r="AY435" s="186"/>
      <c r="AZ435" s="188"/>
      <c r="BA435" s="202"/>
      <c r="BB435" s="202"/>
      <c r="BC435" s="181"/>
      <c r="BD435" s="6"/>
      <c r="BF435" s="6"/>
      <c r="BH435" s="6"/>
      <c r="BJ435" s="6"/>
      <c r="BL435" s="6"/>
      <c r="BM435" s="6"/>
      <c r="BN435" s="6"/>
      <c r="BS435" s="8"/>
      <c r="BU435" s="8"/>
      <c r="BV435" s="8"/>
      <c r="BW435" s="8"/>
      <c r="BX435" s="8"/>
      <c r="BY435" s="8"/>
      <c r="BZ435" s="8"/>
      <c r="CA435" s="8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</row>
    <row r="436" spans="1:183" s="76" customFormat="1" ht="12" customHeight="1">
      <c r="B436" s="8"/>
      <c r="C436" s="8"/>
      <c r="D436" s="75"/>
      <c r="E436" s="75"/>
      <c r="F436" s="75"/>
      <c r="G436" s="75"/>
      <c r="H436" s="75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6"/>
      <c r="AQ436" s="179"/>
      <c r="AR436" s="180"/>
      <c r="AS436" s="180"/>
      <c r="AT436" s="180"/>
      <c r="AU436" s="180"/>
      <c r="AV436" s="182"/>
      <c r="AW436" s="184"/>
      <c r="AX436" s="180"/>
      <c r="AY436" s="186"/>
      <c r="AZ436" s="188"/>
      <c r="BA436" s="202"/>
      <c r="BB436" s="202"/>
      <c r="BC436" s="181"/>
      <c r="BD436" s="6"/>
      <c r="BF436" s="6"/>
      <c r="BH436" s="6"/>
      <c r="BJ436" s="6"/>
      <c r="BL436" s="6"/>
      <c r="BM436" s="6"/>
      <c r="BN436" s="6"/>
      <c r="BS436" s="8"/>
      <c r="BU436" s="8"/>
      <c r="BV436" s="8"/>
      <c r="BW436" s="8"/>
      <c r="BX436" s="8"/>
      <c r="BY436" s="8"/>
      <c r="BZ436" s="8"/>
      <c r="CA436" s="8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</row>
    <row r="437" spans="1:183" s="76" customFormat="1" ht="12" customHeight="1">
      <c r="B437" s="8"/>
      <c r="C437" s="8"/>
      <c r="D437" s="75"/>
      <c r="E437" s="75"/>
      <c r="F437" s="75"/>
      <c r="G437" s="75"/>
      <c r="H437" s="75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6"/>
      <c r="AQ437" s="179"/>
      <c r="AR437" s="180"/>
      <c r="AS437" s="180"/>
      <c r="AT437" s="180"/>
      <c r="AU437" s="180"/>
      <c r="AV437" s="182"/>
      <c r="AW437" s="184"/>
      <c r="AX437" s="180"/>
      <c r="AY437" s="186"/>
      <c r="AZ437" s="188"/>
      <c r="BA437" s="202"/>
      <c r="BB437" s="202"/>
      <c r="BC437" s="181"/>
      <c r="BD437" s="6"/>
      <c r="BF437" s="6"/>
      <c r="BH437" s="6"/>
      <c r="BJ437" s="6"/>
      <c r="BL437" s="6"/>
      <c r="BM437" s="6"/>
      <c r="BN437" s="6"/>
      <c r="BS437" s="8"/>
      <c r="BU437" s="8"/>
      <c r="BV437" s="8"/>
      <c r="BW437" s="8"/>
      <c r="BX437" s="8"/>
      <c r="BY437" s="8"/>
      <c r="BZ437" s="8"/>
      <c r="CA437" s="8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</row>
    <row r="438" spans="1:183" s="76" customFormat="1" ht="12" customHeight="1">
      <c r="B438" s="8"/>
      <c r="C438" s="8"/>
      <c r="D438" s="75"/>
      <c r="E438" s="75"/>
      <c r="F438" s="75"/>
      <c r="G438" s="75"/>
      <c r="H438" s="75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6"/>
      <c r="AQ438" s="179"/>
      <c r="AR438" s="180"/>
      <c r="AS438" s="180"/>
      <c r="AT438" s="180"/>
      <c r="AU438" s="180"/>
      <c r="AV438" s="182"/>
      <c r="AW438" s="184"/>
      <c r="AX438" s="180"/>
      <c r="AY438" s="186"/>
      <c r="AZ438" s="188"/>
      <c r="BA438" s="202"/>
      <c r="BB438" s="202"/>
      <c r="BC438" s="181"/>
      <c r="BD438" s="6"/>
      <c r="BF438" s="6"/>
      <c r="BH438" s="6"/>
      <c r="BJ438" s="6"/>
      <c r="BL438" s="6"/>
      <c r="BM438" s="6"/>
      <c r="BN438" s="6"/>
      <c r="BS438" s="8"/>
      <c r="BU438" s="8"/>
      <c r="BV438" s="8"/>
      <c r="BW438" s="8"/>
      <c r="BX438" s="8"/>
      <c r="BY438" s="8"/>
      <c r="BZ438" s="8"/>
      <c r="CA438" s="8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</row>
    <row r="439" spans="1:183" s="76" customFormat="1" ht="12" customHeight="1">
      <c r="B439" s="8"/>
      <c r="C439" s="8"/>
      <c r="D439" s="75"/>
      <c r="E439" s="75"/>
      <c r="F439" s="75"/>
      <c r="G439" s="75"/>
      <c r="H439" s="75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6"/>
      <c r="AQ439" s="179"/>
      <c r="AR439" s="180"/>
      <c r="AS439" s="180"/>
      <c r="AT439" s="180"/>
      <c r="AU439" s="180"/>
      <c r="AV439" s="182"/>
      <c r="AW439" s="184"/>
      <c r="AX439" s="180"/>
      <c r="AY439" s="186"/>
      <c r="AZ439" s="188"/>
      <c r="BA439" s="202"/>
      <c r="BB439" s="202"/>
      <c r="BC439" s="181"/>
      <c r="BD439" s="6"/>
      <c r="BF439" s="6"/>
      <c r="BH439" s="6"/>
      <c r="BJ439" s="6"/>
      <c r="BL439" s="6"/>
      <c r="BM439" s="6"/>
      <c r="BN439" s="6"/>
      <c r="BS439" s="8"/>
      <c r="BU439" s="8"/>
      <c r="BV439" s="8"/>
      <c r="BW439" s="8"/>
      <c r="BX439" s="8"/>
      <c r="BY439" s="8"/>
      <c r="BZ439" s="8"/>
      <c r="CA439" s="8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</row>
    <row r="440" spans="1:183" s="76" customFormat="1" ht="12" customHeight="1">
      <c r="B440" s="8"/>
      <c r="C440" s="8"/>
      <c r="D440" s="75"/>
      <c r="E440" s="75"/>
      <c r="F440" s="75"/>
      <c r="G440" s="75"/>
      <c r="H440" s="75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6"/>
      <c r="AQ440" s="179"/>
      <c r="AR440" s="180"/>
      <c r="AS440" s="180"/>
      <c r="AT440" s="180"/>
      <c r="AU440" s="180"/>
      <c r="AV440" s="182"/>
      <c r="AW440" s="184"/>
      <c r="AX440" s="180"/>
      <c r="AY440" s="186"/>
      <c r="AZ440" s="188"/>
      <c r="BA440" s="202"/>
      <c r="BB440" s="202"/>
      <c r="BC440" s="181"/>
      <c r="BD440" s="6"/>
      <c r="BF440" s="6"/>
      <c r="BH440" s="6"/>
      <c r="BJ440" s="6"/>
      <c r="BL440" s="6"/>
      <c r="BM440" s="6"/>
      <c r="BN440" s="6"/>
      <c r="BS440" s="8"/>
      <c r="BU440" s="8"/>
      <c r="BV440" s="8"/>
      <c r="BW440" s="8"/>
      <c r="BX440" s="8"/>
      <c r="BY440" s="8"/>
      <c r="BZ440" s="8"/>
      <c r="CA440" s="8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</row>
    <row r="441" spans="1:183" s="76" customFormat="1" ht="12" customHeight="1">
      <c r="A441" s="8"/>
      <c r="B441" s="8"/>
      <c r="C441" s="8"/>
      <c r="D441" s="75"/>
      <c r="E441" s="75"/>
      <c r="F441" s="75"/>
      <c r="G441" s="75"/>
      <c r="H441" s="75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6"/>
      <c r="AQ441" s="179"/>
      <c r="AR441" s="180"/>
      <c r="AS441" s="180"/>
      <c r="AT441" s="180"/>
      <c r="AU441" s="180"/>
      <c r="AV441" s="182"/>
      <c r="AW441" s="184"/>
      <c r="AX441" s="180"/>
      <c r="AY441" s="186"/>
      <c r="AZ441" s="188"/>
      <c r="BA441" s="202"/>
      <c r="BB441" s="202"/>
      <c r="BC441" s="181"/>
      <c r="BD441" s="6"/>
      <c r="BF441" s="6"/>
      <c r="BH441" s="6"/>
      <c r="BJ441" s="6"/>
      <c r="BL441" s="6"/>
      <c r="BM441" s="6"/>
      <c r="BN441" s="6"/>
      <c r="BS441" s="8"/>
      <c r="BU441" s="8"/>
      <c r="BV441" s="8"/>
      <c r="BW441" s="8"/>
      <c r="BX441" s="8"/>
      <c r="BY441" s="8"/>
      <c r="BZ441" s="8"/>
      <c r="CA441" s="8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</row>
    <row r="442" spans="1:183" s="76" customFormat="1" ht="12" customHeight="1">
      <c r="A442" s="8"/>
      <c r="B442" s="8"/>
      <c r="C442" s="8"/>
      <c r="D442" s="75"/>
      <c r="E442" s="75"/>
      <c r="F442" s="75"/>
      <c r="G442" s="75"/>
      <c r="H442" s="75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6"/>
      <c r="AQ442" s="179"/>
      <c r="AR442" s="180"/>
      <c r="AS442" s="180"/>
      <c r="AT442" s="180"/>
      <c r="AU442" s="180"/>
      <c r="AV442" s="182"/>
      <c r="AW442" s="184"/>
      <c r="AX442" s="180"/>
      <c r="AY442" s="186"/>
      <c r="AZ442" s="188"/>
      <c r="BA442" s="202"/>
      <c r="BB442" s="202"/>
      <c r="BC442" s="181"/>
      <c r="BD442" s="6"/>
      <c r="BF442" s="6"/>
      <c r="BH442" s="6"/>
      <c r="BJ442" s="6"/>
      <c r="BL442" s="6"/>
      <c r="BM442" s="6"/>
      <c r="BN442" s="6"/>
      <c r="BS442" s="8"/>
      <c r="BU442" s="8"/>
      <c r="BV442" s="8"/>
      <c r="BW442" s="8"/>
      <c r="BX442" s="8"/>
      <c r="BY442" s="8"/>
      <c r="BZ442" s="8"/>
      <c r="CA442" s="8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</row>
    <row r="443" spans="1:183" s="76" customFormat="1" ht="12" customHeight="1">
      <c r="A443" s="8"/>
      <c r="B443" s="8"/>
      <c r="C443" s="8"/>
      <c r="D443" s="75"/>
      <c r="E443" s="75"/>
      <c r="F443" s="75"/>
      <c r="G443" s="75"/>
      <c r="H443" s="75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6"/>
      <c r="AQ443" s="179"/>
      <c r="AR443" s="180"/>
      <c r="AS443" s="180"/>
      <c r="AT443" s="180"/>
      <c r="AU443" s="180"/>
      <c r="AV443" s="182"/>
      <c r="AW443" s="184"/>
      <c r="AX443" s="180"/>
      <c r="AY443" s="186"/>
      <c r="AZ443" s="188"/>
      <c r="BA443" s="202"/>
      <c r="BB443" s="202"/>
      <c r="BC443" s="181"/>
      <c r="BD443" s="6"/>
      <c r="BF443" s="6"/>
      <c r="BH443" s="6"/>
      <c r="BJ443" s="6"/>
      <c r="BL443" s="6"/>
      <c r="BM443" s="6"/>
      <c r="BN443" s="6"/>
      <c r="BS443" s="8"/>
      <c r="BU443" s="8"/>
      <c r="BV443" s="8"/>
      <c r="BW443" s="8"/>
      <c r="BX443" s="8"/>
      <c r="BY443" s="8"/>
      <c r="BZ443" s="8"/>
      <c r="CA443" s="8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</row>
    <row r="444" spans="1:183" s="76" customFormat="1" ht="12" customHeight="1">
      <c r="A444" s="8"/>
      <c r="B444" s="8"/>
      <c r="C444" s="8"/>
      <c r="D444" s="75"/>
      <c r="E444" s="75"/>
      <c r="F444" s="75"/>
      <c r="G444" s="75"/>
      <c r="H444" s="75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6"/>
      <c r="AQ444" s="179"/>
      <c r="AR444" s="180"/>
      <c r="AS444" s="180"/>
      <c r="AT444" s="180"/>
      <c r="AU444" s="180"/>
      <c r="AV444" s="182"/>
      <c r="AW444" s="184"/>
      <c r="AX444" s="180"/>
      <c r="AY444" s="186"/>
      <c r="AZ444" s="188"/>
      <c r="BA444" s="202"/>
      <c r="BB444" s="202"/>
      <c r="BC444" s="181"/>
      <c r="BD444" s="6"/>
      <c r="BF444" s="6"/>
      <c r="BH444" s="6"/>
      <c r="BJ444" s="6"/>
      <c r="BL444" s="6"/>
      <c r="BM444" s="6"/>
      <c r="BN444" s="6"/>
      <c r="BS444" s="8"/>
      <c r="BU444" s="8"/>
      <c r="BV444" s="8"/>
      <c r="BW444" s="8"/>
      <c r="BX444" s="8"/>
      <c r="BY444" s="8"/>
      <c r="BZ444" s="8"/>
      <c r="CA444" s="8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</row>
    <row r="445" spans="1:183" s="76" customFormat="1" ht="12" customHeight="1">
      <c r="A445" s="8"/>
      <c r="B445" s="8"/>
      <c r="C445" s="8"/>
      <c r="D445" s="75"/>
      <c r="E445" s="75"/>
      <c r="F445" s="75"/>
      <c r="G445" s="75"/>
      <c r="H445" s="75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6"/>
      <c r="AQ445" s="179"/>
      <c r="AR445" s="180"/>
      <c r="AS445" s="180"/>
      <c r="AT445" s="180"/>
      <c r="AU445" s="180"/>
      <c r="AV445" s="182"/>
      <c r="AW445" s="184"/>
      <c r="AX445" s="180"/>
      <c r="AY445" s="186"/>
      <c r="AZ445" s="188"/>
      <c r="BA445" s="202"/>
      <c r="BB445" s="202"/>
      <c r="BC445" s="181"/>
      <c r="BD445" s="6"/>
      <c r="BF445" s="6"/>
      <c r="BH445" s="6"/>
      <c r="BJ445" s="6"/>
      <c r="BL445" s="6"/>
      <c r="BM445" s="6"/>
      <c r="BN445" s="6"/>
      <c r="BS445" s="8"/>
      <c r="BU445" s="8"/>
      <c r="BV445" s="8"/>
      <c r="BW445" s="8"/>
      <c r="BX445" s="8"/>
      <c r="BY445" s="8"/>
      <c r="BZ445" s="8"/>
      <c r="CA445" s="8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</row>
    <row r="446" spans="1:183" s="76" customFormat="1" ht="12" customHeight="1">
      <c r="A446" s="8"/>
      <c r="B446" s="8"/>
      <c r="C446" s="8"/>
      <c r="D446" s="75"/>
      <c r="E446" s="75"/>
      <c r="F446" s="75"/>
      <c r="G446" s="75"/>
      <c r="H446" s="75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6"/>
      <c r="AQ446" s="179"/>
      <c r="AR446" s="180"/>
      <c r="AS446" s="180"/>
      <c r="AT446" s="180"/>
      <c r="AU446" s="180"/>
      <c r="AV446" s="182"/>
      <c r="AW446" s="184"/>
      <c r="AX446" s="180"/>
      <c r="AY446" s="186"/>
      <c r="AZ446" s="188"/>
      <c r="BA446" s="202"/>
      <c r="BB446" s="202"/>
      <c r="BC446" s="181"/>
      <c r="BD446" s="6"/>
      <c r="BF446" s="6"/>
      <c r="BH446" s="6"/>
      <c r="BJ446" s="6"/>
      <c r="BL446" s="6"/>
      <c r="BM446" s="6"/>
      <c r="BN446" s="6"/>
      <c r="BS446" s="8"/>
      <c r="BU446" s="8"/>
      <c r="BV446" s="8"/>
      <c r="BW446" s="8"/>
      <c r="BX446" s="8"/>
      <c r="BY446" s="8"/>
      <c r="BZ446" s="8"/>
      <c r="CA446" s="8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</row>
    <row r="447" spans="1:183" s="76" customFormat="1" ht="12" customHeight="1">
      <c r="A447" s="8"/>
      <c r="B447" s="8"/>
      <c r="C447" s="8"/>
      <c r="D447" s="75"/>
      <c r="E447" s="75"/>
      <c r="F447" s="75"/>
      <c r="G447" s="75"/>
      <c r="H447" s="75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6"/>
      <c r="AQ447" s="179"/>
      <c r="AR447" s="180"/>
      <c r="AS447" s="180"/>
      <c r="AT447" s="180"/>
      <c r="AU447" s="180"/>
      <c r="AV447" s="182"/>
      <c r="AW447" s="184"/>
      <c r="AX447" s="180"/>
      <c r="AY447" s="186"/>
      <c r="AZ447" s="188"/>
      <c r="BA447" s="202"/>
      <c r="BB447" s="202"/>
      <c r="BC447" s="181"/>
      <c r="BD447" s="6"/>
      <c r="BF447" s="6"/>
      <c r="BH447" s="6"/>
      <c r="BJ447" s="6"/>
      <c r="BL447" s="6"/>
      <c r="BM447" s="6"/>
      <c r="BN447" s="6"/>
      <c r="BS447" s="8"/>
      <c r="BU447" s="8"/>
      <c r="BV447" s="8"/>
      <c r="BW447" s="8"/>
      <c r="BX447" s="8"/>
      <c r="BY447" s="8"/>
      <c r="BZ447" s="8"/>
      <c r="CA447" s="8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</row>
    <row r="448" spans="1:183" s="76" customFormat="1" ht="12" customHeight="1">
      <c r="A448" s="8"/>
      <c r="B448" s="8"/>
      <c r="C448" s="8"/>
      <c r="D448" s="75"/>
      <c r="E448" s="75"/>
      <c r="F448" s="75"/>
      <c r="G448" s="75"/>
      <c r="H448" s="75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6"/>
      <c r="AQ448" s="179"/>
      <c r="AR448" s="180"/>
      <c r="AS448" s="180"/>
      <c r="AT448" s="180"/>
      <c r="AU448" s="180"/>
      <c r="AV448" s="182"/>
      <c r="AW448" s="184"/>
      <c r="AX448" s="180"/>
      <c r="AY448" s="186"/>
      <c r="AZ448" s="188"/>
      <c r="BA448" s="202"/>
      <c r="BB448" s="202"/>
      <c r="BC448" s="181"/>
      <c r="BD448" s="6"/>
      <c r="BF448" s="6"/>
      <c r="BH448" s="6"/>
      <c r="BJ448" s="6"/>
      <c r="BL448" s="6"/>
      <c r="BM448" s="6"/>
      <c r="BN448" s="6"/>
      <c r="BS448" s="8"/>
      <c r="BU448" s="8"/>
      <c r="BV448" s="8"/>
      <c r="BW448" s="8"/>
      <c r="BX448" s="8"/>
      <c r="BY448" s="8"/>
      <c r="BZ448" s="8"/>
      <c r="CA448" s="8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</row>
    <row r="449" spans="1:183" s="76" customFormat="1" ht="12" customHeight="1">
      <c r="A449" s="8"/>
      <c r="B449" s="8"/>
      <c r="C449" s="8"/>
      <c r="D449" s="75"/>
      <c r="E449" s="75"/>
      <c r="F449" s="75"/>
      <c r="G449" s="75"/>
      <c r="H449" s="75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6"/>
      <c r="AQ449" s="179"/>
      <c r="AR449" s="180"/>
      <c r="AS449" s="180"/>
      <c r="AT449" s="180"/>
      <c r="AU449" s="180"/>
      <c r="AV449" s="182"/>
      <c r="AW449" s="184"/>
      <c r="AX449" s="180"/>
      <c r="AY449" s="186"/>
      <c r="AZ449" s="188"/>
      <c r="BA449" s="202"/>
      <c r="BB449" s="202"/>
      <c r="BC449" s="181"/>
      <c r="BD449" s="6"/>
      <c r="BF449" s="6"/>
      <c r="BH449" s="6"/>
      <c r="BJ449" s="6"/>
      <c r="BL449" s="6"/>
      <c r="BM449" s="6"/>
      <c r="BN449" s="6"/>
      <c r="BS449" s="8"/>
      <c r="BU449" s="8"/>
      <c r="BV449" s="8"/>
      <c r="BW449" s="8"/>
      <c r="BX449" s="8"/>
      <c r="BY449" s="8"/>
      <c r="BZ449" s="8"/>
      <c r="CA449" s="8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</row>
  </sheetData>
  <sheetProtection algorithmName="SHA-512" hashValue="iCSTn//gq1A047AyyuOFGeutmyQ5mI8Yq8kiHDvvrfmyYLM/vEJvVdFYwmf2r+YONDYDdXQ0ebyhpfM/E8FssQ==" saltValue="33QeInNKJCt+XdqP9s2BAA==" spinCount="100000" sheet="1" objects="1" scenarios="1" selectLockedCells="1"/>
  <mergeCells count="406">
    <mergeCell ref="AY1:AZ2"/>
    <mergeCell ref="T181:W182"/>
    <mergeCell ref="F181:I182"/>
    <mergeCell ref="AJ181:AL182"/>
    <mergeCell ref="E75:X76"/>
    <mergeCell ref="Y75:AA76"/>
    <mergeCell ref="AD75:AJ76"/>
    <mergeCell ref="D86:AK87"/>
    <mergeCell ref="D84:AK85"/>
    <mergeCell ref="AL84:AM85"/>
    <mergeCell ref="AL86:AM87"/>
    <mergeCell ref="B146:AP147"/>
    <mergeCell ref="AC66:AD68"/>
    <mergeCell ref="AC61:AD63"/>
    <mergeCell ref="M61:N63"/>
    <mergeCell ref="M66:N68"/>
    <mergeCell ref="D168:AA169"/>
    <mergeCell ref="B177:C178"/>
    <mergeCell ref="D177:W178"/>
    <mergeCell ref="B43:C44"/>
    <mergeCell ref="B45:C46"/>
    <mergeCell ref="Y24:AJ25"/>
    <mergeCell ref="Y26:AJ27"/>
    <mergeCell ref="Y22:AB23"/>
    <mergeCell ref="AV1:AW2"/>
    <mergeCell ref="AK69:AN70"/>
    <mergeCell ref="D51:J52"/>
    <mergeCell ref="AK51:AN52"/>
    <mergeCell ref="AH51:AJ52"/>
    <mergeCell ref="AN43:AP44"/>
    <mergeCell ref="B17:C18"/>
    <mergeCell ref="B24:C25"/>
    <mergeCell ref="B19:C20"/>
    <mergeCell ref="D21:X23"/>
    <mergeCell ref="D19:X20"/>
    <mergeCell ref="Y19:AP20"/>
    <mergeCell ref="AK22:AL23"/>
    <mergeCell ref="AI22:AJ23"/>
    <mergeCell ref="AE22:AH23"/>
    <mergeCell ref="AC22:AD23"/>
    <mergeCell ref="AK36:AN37"/>
    <mergeCell ref="AC36:AG37"/>
    <mergeCell ref="Y36:AB37"/>
    <mergeCell ref="AH36:AJ37"/>
    <mergeCell ref="D57:G58"/>
    <mergeCell ref="H57:AJ58"/>
    <mergeCell ref="AF43:AH44"/>
    <mergeCell ref="AK43:AM44"/>
    <mergeCell ref="AA43:AC44"/>
    <mergeCell ref="AD43:AE44"/>
    <mergeCell ref="D43:X44"/>
    <mergeCell ref="C3:AO4"/>
    <mergeCell ref="C5:AI6"/>
    <mergeCell ref="C7:AI8"/>
    <mergeCell ref="C9:D10"/>
    <mergeCell ref="B21:C23"/>
    <mergeCell ref="B32:C33"/>
    <mergeCell ref="B34:C35"/>
    <mergeCell ref="E9:P10"/>
    <mergeCell ref="B28:C29"/>
    <mergeCell ref="B26:C27"/>
    <mergeCell ref="D28:X29"/>
    <mergeCell ref="Y28:AP29"/>
    <mergeCell ref="D34:X35"/>
    <mergeCell ref="Y34:AP35"/>
    <mergeCell ref="AO22:AP23"/>
    <mergeCell ref="AM22:AN23"/>
    <mergeCell ref="AJ9:AO10"/>
    <mergeCell ref="Q9:R10"/>
    <mergeCell ref="B15:AD16"/>
    <mergeCell ref="B30:C31"/>
    <mergeCell ref="D30:X31"/>
    <mergeCell ref="AR137:AR138"/>
    <mergeCell ref="AQ137:AQ138"/>
    <mergeCell ref="AR133:AR134"/>
    <mergeCell ref="AQ133:AQ134"/>
    <mergeCell ref="K133:L134"/>
    <mergeCell ref="I133:J134"/>
    <mergeCell ref="F133:H134"/>
    <mergeCell ref="D122:E123"/>
    <mergeCell ref="F122:H123"/>
    <mergeCell ref="R128:S129"/>
    <mergeCell ref="T128:W129"/>
    <mergeCell ref="AR129:AR130"/>
    <mergeCell ref="AQ129:AQ130"/>
    <mergeCell ref="N117:S118"/>
    <mergeCell ref="D119:AP121"/>
    <mergeCell ref="AQ126:AR127"/>
    <mergeCell ref="E53:G55"/>
    <mergeCell ref="D56:X56"/>
    <mergeCell ref="D66:F68"/>
    <mergeCell ref="O66:S68"/>
    <mergeCell ref="AI43:AJ44"/>
    <mergeCell ref="Y43:Z44"/>
    <mergeCell ref="AE53:AE56"/>
    <mergeCell ref="AE61:AH63"/>
    <mergeCell ref="O61:S63"/>
    <mergeCell ref="D61:F63"/>
    <mergeCell ref="H64:AJ65"/>
    <mergeCell ref="AK57:AN58"/>
    <mergeCell ref="CG6:CG7"/>
    <mergeCell ref="BL10:BL11"/>
    <mergeCell ref="BD8:BL9"/>
    <mergeCell ref="BI10:BI11"/>
    <mergeCell ref="BJ10:BJ11"/>
    <mergeCell ref="BK10:BK11"/>
    <mergeCell ref="W9:AC10"/>
    <mergeCell ref="AD9:AE10"/>
    <mergeCell ref="BD10:BD11"/>
    <mergeCell ref="BE10:BE11"/>
    <mergeCell ref="BF10:BF11"/>
    <mergeCell ref="BG10:BG11"/>
    <mergeCell ref="BH10:BH11"/>
    <mergeCell ref="AQ38:AQ39"/>
    <mergeCell ref="Y30:AP31"/>
    <mergeCell ref="D38:X39"/>
    <mergeCell ref="AE15:AF16"/>
    <mergeCell ref="AG15:AP16"/>
    <mergeCell ref="CH6:CH7"/>
    <mergeCell ref="B100:C101"/>
    <mergeCell ref="D100:AP102"/>
    <mergeCell ref="AE104:AF104"/>
    <mergeCell ref="AF103:AH103"/>
    <mergeCell ref="AG104:AL105"/>
    <mergeCell ref="AA103:AD105"/>
    <mergeCell ref="P103:U105"/>
    <mergeCell ref="L103:O105"/>
    <mergeCell ref="BD45:BL46"/>
    <mergeCell ref="D32:X33"/>
    <mergeCell ref="Y32:AP33"/>
    <mergeCell ref="D17:X18"/>
    <mergeCell ref="Y17:AP18"/>
    <mergeCell ref="BM45:BN49"/>
    <mergeCell ref="BD47:BD48"/>
    <mergeCell ref="BE47:BE48"/>
    <mergeCell ref="BF47:BF48"/>
    <mergeCell ref="BG47:BG48"/>
    <mergeCell ref="BS8:BS14"/>
    <mergeCell ref="BD43:BN44"/>
    <mergeCell ref="BD86:BD87"/>
    <mergeCell ref="BE86:BE87"/>
    <mergeCell ref="BM8:BN12"/>
    <mergeCell ref="AN26:AP27"/>
    <mergeCell ref="Y21:AB21"/>
    <mergeCell ref="AC21:AP21"/>
    <mergeCell ref="BS4:CA5"/>
    <mergeCell ref="BU6:BU7"/>
    <mergeCell ref="BV6:BV7"/>
    <mergeCell ref="BW6:BW7"/>
    <mergeCell ref="BX6:BX7"/>
    <mergeCell ref="BY6:CA6"/>
    <mergeCell ref="BS6:BS7"/>
    <mergeCell ref="BT6:BT7"/>
    <mergeCell ref="BD6:BN7"/>
    <mergeCell ref="B13:AP14"/>
    <mergeCell ref="B36:C37"/>
    <mergeCell ref="AO36:AP37"/>
    <mergeCell ref="AR40:AR41"/>
    <mergeCell ref="AR42:AR43"/>
    <mergeCell ref="AQ42:AQ43"/>
    <mergeCell ref="AQ44:AQ45"/>
    <mergeCell ref="AI41:AK42"/>
    <mergeCell ref="AL41:AM42"/>
    <mergeCell ref="AN41:AP42"/>
    <mergeCell ref="D40:AP40"/>
    <mergeCell ref="AA41:AB42"/>
    <mergeCell ref="AQ40:AQ41"/>
    <mergeCell ref="D45:AP46"/>
    <mergeCell ref="AR32:AR33"/>
    <mergeCell ref="AQ32:AQ33"/>
    <mergeCell ref="Y38:AP39"/>
    <mergeCell ref="D36:X37"/>
    <mergeCell ref="AQ19:AQ20"/>
    <mergeCell ref="D24:X25"/>
    <mergeCell ref="AK24:AM25"/>
    <mergeCell ref="AN24:AP25"/>
    <mergeCell ref="D26:X27"/>
    <mergeCell ref="AK26:AM27"/>
    <mergeCell ref="D49:AO50"/>
    <mergeCell ref="BM84:BN88"/>
    <mergeCell ref="AR44:AR45"/>
    <mergeCell ref="AR46:AR47"/>
    <mergeCell ref="B47:AP48"/>
    <mergeCell ref="M53:N55"/>
    <mergeCell ref="U53:V55"/>
    <mergeCell ref="W54:X55"/>
    <mergeCell ref="BF86:BF87"/>
    <mergeCell ref="BH47:BH48"/>
    <mergeCell ref="BI47:BI48"/>
    <mergeCell ref="BJ47:BJ48"/>
    <mergeCell ref="P51:Q52"/>
    <mergeCell ref="R51:S52"/>
    <mergeCell ref="V51:W52"/>
    <mergeCell ref="X51:Y52"/>
    <mergeCell ref="AA51:AC52"/>
    <mergeCell ref="K51:N52"/>
    <mergeCell ref="BD84:BL85"/>
    <mergeCell ref="BL47:BL48"/>
    <mergeCell ref="B79:AP80"/>
    <mergeCell ref="AK64:AN65"/>
    <mergeCell ref="Y54:AB55"/>
    <mergeCell ref="AE66:AH68"/>
    <mergeCell ref="BK120:BK121"/>
    <mergeCell ref="BL120:BL121"/>
    <mergeCell ref="BG120:BG121"/>
    <mergeCell ref="BH120:BH121"/>
    <mergeCell ref="B38:C40"/>
    <mergeCell ref="B41:C42"/>
    <mergeCell ref="L41:N42"/>
    <mergeCell ref="S41:U42"/>
    <mergeCell ref="V41:X42"/>
    <mergeCell ref="AF41:AH42"/>
    <mergeCell ref="AC41:AE42"/>
    <mergeCell ref="D41:E42"/>
    <mergeCell ref="F41:H42"/>
    <mergeCell ref="I41:K42"/>
    <mergeCell ref="Y41:Z42"/>
    <mergeCell ref="Q41:R42"/>
    <mergeCell ref="O41:P42"/>
    <mergeCell ref="AQ46:AQ47"/>
    <mergeCell ref="BG86:BG87"/>
    <mergeCell ref="BH86:BH87"/>
    <mergeCell ref="BI86:BI87"/>
    <mergeCell ref="D59:AO60"/>
    <mergeCell ref="AQ92:AQ93"/>
    <mergeCell ref="AQ94:AQ95"/>
    <mergeCell ref="AR96:AR97"/>
    <mergeCell ref="AM106:AN107"/>
    <mergeCell ref="AM103:AP105"/>
    <mergeCell ref="AO106:AP107"/>
    <mergeCell ref="AR98:AR99"/>
    <mergeCell ref="AR100:AR101"/>
    <mergeCell ref="AQ88:AQ89"/>
    <mergeCell ref="AQ90:AQ91"/>
    <mergeCell ref="AR92:AR93"/>
    <mergeCell ref="AR106:AR107"/>
    <mergeCell ref="AQ106:AQ107"/>
    <mergeCell ref="AQ96:AQ97"/>
    <mergeCell ref="AQ98:AQ99"/>
    <mergeCell ref="AQ100:AQ101"/>
    <mergeCell ref="AR103:AR104"/>
    <mergeCell ref="AQ103:AQ104"/>
    <mergeCell ref="AR90:AR91"/>
    <mergeCell ref="Z90:AI91"/>
    <mergeCell ref="AK94:AO95"/>
    <mergeCell ref="E94:O95"/>
    <mergeCell ref="D81:AD82"/>
    <mergeCell ref="AK82:AM83"/>
    <mergeCell ref="AE82:AG83"/>
    <mergeCell ref="B81:C82"/>
    <mergeCell ref="B84:C85"/>
    <mergeCell ref="B86:C87"/>
    <mergeCell ref="D92:AC93"/>
    <mergeCell ref="D88:AJ89"/>
    <mergeCell ref="B88:C89"/>
    <mergeCell ref="B92:C93"/>
    <mergeCell ref="X94:AH95"/>
    <mergeCell ref="AO108:AP109"/>
    <mergeCell ref="B96:C97"/>
    <mergeCell ref="D96:AC97"/>
    <mergeCell ref="B124:C125"/>
    <mergeCell ref="I122:K123"/>
    <mergeCell ref="S122:U123"/>
    <mergeCell ref="AA122:AB123"/>
    <mergeCell ref="AC122:AE123"/>
    <mergeCell ref="AF122:AJ123"/>
    <mergeCell ref="B119:C120"/>
    <mergeCell ref="AL122:AM123"/>
    <mergeCell ref="AO124:AP125"/>
    <mergeCell ref="AJ108:AM109"/>
    <mergeCell ref="B115:C116"/>
    <mergeCell ref="J98:N99"/>
    <mergeCell ref="W98:AF99"/>
    <mergeCell ref="B106:C107"/>
    <mergeCell ref="D98:E99"/>
    <mergeCell ref="D106:AL107"/>
    <mergeCell ref="Y122:Z123"/>
    <mergeCell ref="B179:C180"/>
    <mergeCell ref="AI179:AL180"/>
    <mergeCell ref="D115:AP116"/>
    <mergeCell ref="AJ117:AL118"/>
    <mergeCell ref="AC117:AE118"/>
    <mergeCell ref="V117:X118"/>
    <mergeCell ref="T117:U118"/>
    <mergeCell ref="AI173:AK174"/>
    <mergeCell ref="U175:AC176"/>
    <mergeCell ref="D175:S176"/>
    <mergeCell ref="B126:C127"/>
    <mergeCell ref="D139:Y140"/>
    <mergeCell ref="P137:Q138"/>
    <mergeCell ref="AF130:AO131"/>
    <mergeCell ref="AA139:AC139"/>
    <mergeCell ref="R137:S138"/>
    <mergeCell ref="AD137:AE138"/>
    <mergeCell ref="D141:G142"/>
    <mergeCell ref="H141:AK142"/>
    <mergeCell ref="AL141:AO142"/>
    <mergeCell ref="D179:V180"/>
    <mergeCell ref="Y137:Z138"/>
    <mergeCell ref="AD133:AE134"/>
    <mergeCell ref="O133:X134"/>
    <mergeCell ref="AR175:AR176"/>
    <mergeCell ref="AQ175:AQ176"/>
    <mergeCell ref="D156:X157"/>
    <mergeCell ref="D160:E161"/>
    <mergeCell ref="AF160:AI161"/>
    <mergeCell ref="AK158:AM159"/>
    <mergeCell ref="D148:X149"/>
    <mergeCell ref="AK150:AM151"/>
    <mergeCell ref="D152:E153"/>
    <mergeCell ref="AO166:AP167"/>
    <mergeCell ref="AD168:AF169"/>
    <mergeCell ref="I162:AK163"/>
    <mergeCell ref="AF152:AI153"/>
    <mergeCell ref="N152:O153"/>
    <mergeCell ref="Q152:T153"/>
    <mergeCell ref="AD152:AE153"/>
    <mergeCell ref="D164:W165"/>
    <mergeCell ref="AC166:AG167"/>
    <mergeCell ref="X166:Z167"/>
    <mergeCell ref="D170:U171"/>
    <mergeCell ref="AQ173:AQ174"/>
    <mergeCell ref="D172:W172"/>
    <mergeCell ref="D173:AB174"/>
    <mergeCell ref="AD160:AE161"/>
    <mergeCell ref="I154:AK155"/>
    <mergeCell ref="E154:H155"/>
    <mergeCell ref="AI158:AJ159"/>
    <mergeCell ref="AB158:AD159"/>
    <mergeCell ref="D158:U159"/>
    <mergeCell ref="V158:X159"/>
    <mergeCell ref="T137:X138"/>
    <mergeCell ref="AA135:AC137"/>
    <mergeCell ref="AA138:AC138"/>
    <mergeCell ref="AI77:AP77"/>
    <mergeCell ref="B77:H77"/>
    <mergeCell ref="B144:H144"/>
    <mergeCell ref="AI144:AP144"/>
    <mergeCell ref="D64:G65"/>
    <mergeCell ref="V150:X151"/>
    <mergeCell ref="AI150:AJ151"/>
    <mergeCell ref="AB150:AD151"/>
    <mergeCell ref="D150:U151"/>
    <mergeCell ref="D90:M91"/>
    <mergeCell ref="W110:X111"/>
    <mergeCell ref="W113:X114"/>
    <mergeCell ref="D110:E111"/>
    <mergeCell ref="D113:E114"/>
    <mergeCell ref="E117:M118"/>
    <mergeCell ref="D69:G70"/>
    <mergeCell ref="H69:AJ70"/>
    <mergeCell ref="D71:AO72"/>
    <mergeCell ref="G73:I74"/>
    <mergeCell ref="AC73:AE74"/>
    <mergeCell ref="M133:N134"/>
    <mergeCell ref="AB130:AE131"/>
    <mergeCell ref="B108:C109"/>
    <mergeCell ref="D108:W109"/>
    <mergeCell ref="B184:H184"/>
    <mergeCell ref="AI184:AP184"/>
    <mergeCell ref="AM124:AN125"/>
    <mergeCell ref="D124:AL125"/>
    <mergeCell ref="AN122:AP123"/>
    <mergeCell ref="F137:I138"/>
    <mergeCell ref="D137:E138"/>
    <mergeCell ref="AL154:AO155"/>
    <mergeCell ref="AL162:AO163"/>
    <mergeCell ref="D126:AB127"/>
    <mergeCell ref="N160:O161"/>
    <mergeCell ref="P160:S161"/>
    <mergeCell ref="D162:H163"/>
    <mergeCell ref="B170:C171"/>
    <mergeCell ref="B164:C165"/>
    <mergeCell ref="B148:C149"/>
    <mergeCell ref="B156:C157"/>
    <mergeCell ref="O122:P123"/>
    <mergeCell ref="J137:O138"/>
    <mergeCell ref="Q122:R123"/>
    <mergeCell ref="J128:M129"/>
    <mergeCell ref="N128:Q129"/>
    <mergeCell ref="W179:AH180"/>
    <mergeCell ref="AE171:AK172"/>
    <mergeCell ref="BO42:BO56"/>
    <mergeCell ref="BO5:BO19"/>
    <mergeCell ref="BO81:BO95"/>
    <mergeCell ref="BO115:BO128"/>
    <mergeCell ref="CB4:CB32"/>
    <mergeCell ref="BS36:BS50"/>
    <mergeCell ref="BS28:BS35"/>
    <mergeCell ref="BS15:BS27"/>
    <mergeCell ref="AR173:AR174"/>
    <mergeCell ref="AR88:AR89"/>
    <mergeCell ref="AR94:AR95"/>
    <mergeCell ref="BK47:BK48"/>
    <mergeCell ref="BK86:BK87"/>
    <mergeCell ref="BL86:BL87"/>
    <mergeCell ref="BD116:BN117"/>
    <mergeCell ref="BM118:BN122"/>
    <mergeCell ref="BD118:BL119"/>
    <mergeCell ref="BD120:BD121"/>
    <mergeCell ref="BJ86:BJ87"/>
    <mergeCell ref="BI120:BI121"/>
    <mergeCell ref="BJ120:BJ121"/>
    <mergeCell ref="BE120:BE121"/>
    <mergeCell ref="BF120:BF121"/>
    <mergeCell ref="BD82:BN83"/>
  </mergeCells>
  <conditionalFormatting sqref="D137">
    <cfRule type="cellIs" dxfId="12" priority="5" operator="equal">
      <formula>"û"</formula>
    </cfRule>
  </conditionalFormatting>
  <conditionalFormatting sqref="D110:E111 AD152 AC153 AD160:AE161">
    <cfRule type="cellIs" dxfId="11" priority="13" operator="equal">
      <formula>"û"</formula>
    </cfRule>
  </conditionalFormatting>
  <conditionalFormatting sqref="D113:E114">
    <cfRule type="cellIs" dxfId="10" priority="11" operator="equal">
      <formula>"û"</formula>
    </cfRule>
  </conditionalFormatting>
  <conditionalFormatting sqref="D139:Y140">
    <cfRule type="cellIs" dxfId="9" priority="18" operator="equal">
      <formula>$AQ$126</formula>
    </cfRule>
  </conditionalFormatting>
  <conditionalFormatting sqref="M61">
    <cfRule type="cellIs" dxfId="8" priority="3" operator="equal">
      <formula>"û"</formula>
    </cfRule>
  </conditionalFormatting>
  <conditionalFormatting sqref="M66">
    <cfRule type="cellIs" dxfId="7" priority="2" operator="equal">
      <formula>"û"</formula>
    </cfRule>
  </conditionalFormatting>
  <conditionalFormatting sqref="N152:O153">
    <cfRule type="cellIs" dxfId="6" priority="7" operator="equal">
      <formula>"û"</formula>
    </cfRule>
  </conditionalFormatting>
  <conditionalFormatting sqref="N160:O161">
    <cfRule type="cellIs" dxfId="5" priority="6" operator="equal">
      <formula>"û"</formula>
    </cfRule>
  </conditionalFormatting>
  <conditionalFormatting sqref="R137:S138">
    <cfRule type="cellIs" dxfId="4" priority="16" operator="equal">
      <formula>"û"</formula>
    </cfRule>
  </conditionalFormatting>
  <conditionalFormatting sqref="W110:X111">
    <cfRule type="cellIs" dxfId="3" priority="14" operator="equal">
      <formula>"û"</formula>
    </cfRule>
  </conditionalFormatting>
  <conditionalFormatting sqref="W113:X114">
    <cfRule type="cellIs" dxfId="2" priority="12" operator="equal">
      <formula>"û"</formula>
    </cfRule>
  </conditionalFormatting>
  <conditionalFormatting sqref="AC61">
    <cfRule type="cellIs" dxfId="1" priority="4" operator="equal">
      <formula>"û"</formula>
    </cfRule>
  </conditionalFormatting>
  <conditionalFormatting sqref="AC66">
    <cfRule type="cellIs" dxfId="0" priority="1" operator="equal">
      <formula>"û"</formula>
    </cfRule>
  </conditionalFormatting>
  <dataValidations count="8">
    <dataValidation type="list" allowBlank="1" showInputMessage="1" showErrorMessage="1" errorTitle="خطا" error=".از گزینه های موجود یک گزینه را انتخاب فرمایید" sqref="Y34" xr:uid="{054A9F00-1B66-45C7-8806-AE40F53846AF}">
      <formula1>$CI$5:$CI$6</formula1>
    </dataValidation>
    <dataValidation type="list" allowBlank="1" showInputMessage="1" showErrorMessage="1" errorTitle="خطا" error=".از گزینه های موجود یک گزینه را انتخاب فرمایید" sqref="Y28" xr:uid="{58F5F9AD-1403-41B4-8181-CE9668CE8952}">
      <formula1>$BR$8:$BR$11</formula1>
    </dataValidation>
    <dataValidation type="list" allowBlank="1" showInputMessage="1" showErrorMessage="1" errorTitle="خطا" error=".از گزینه های موجود یک گزینه را انتخاب فرمایید" sqref="Y19:AP20" xr:uid="{FAE6FF64-76A8-4681-A10E-323B465D67D1}">
      <formula1>$CD$8:$CD$13</formula1>
    </dataValidation>
    <dataValidation type="list" allowBlank="1" showInputMessage="1" showErrorMessage="1" errorTitle="خطا" error=".از گزینه های موجود یک گزینه را انتخاب فرمایید" sqref="Y22" xr:uid="{62F41E1E-3D20-4658-8C23-D50C7743DEFE}">
      <formula1>$CF$8:$CF$9</formula1>
    </dataValidation>
    <dataValidation type="list" allowBlank="1" showInputMessage="1" showErrorMessage="1" errorTitle="خطا" error="فقط از پارمترهای لیست انتخاب فرمایید" promptTitle="ضریب نامعینی سازه" prompt="ضریب نامعینی سازه را طبق بند ۵-۳ استاندارد ۲۸۰۰ تعیین فرمایید." sqref="Y32:AP33" xr:uid="{8548DDF3-94C7-43E0-9EC5-CC300B334B79}">
      <formula1>$CJ$5:$CJ$6</formula1>
    </dataValidation>
    <dataValidation type="list" allowBlank="1" showInputMessage="1" showErrorMessage="1" sqref="Y40:AP40" xr:uid="{CBECF379-C3DB-4672-ABF3-7FC4623BF8A6}">
      <formula1>$BU$8:$BU$52</formula1>
    </dataValidation>
    <dataValidation type="list" allowBlank="1" showInputMessage="1" showErrorMessage="1" errorTitle="خطا" error=".از گزینه های موجود یک گزینه را انتخاب فرمایید" sqref="Y30:AP31" xr:uid="{E825880F-79AE-43DD-BE84-EC2DB0C8726C}">
      <formula1>$CG$8:$CG$11</formula1>
    </dataValidation>
    <dataValidation type="list" allowBlank="1" showInputMessage="1" showErrorMessage="1" sqref="Y38:AP39" xr:uid="{9FB6C87F-B500-4675-8BFD-6188A8E728CD}">
      <formula1>$BU$8:$BU$50</formula1>
    </dataValidation>
  </dataValidations>
  <hyperlinks>
    <hyperlink ref="E9" r:id="rId1" xr:uid="{920D2B3D-90B4-409C-B9C7-54CB7C890B39}"/>
  </hyperlinks>
  <printOptions horizontalCentered="1"/>
  <pageMargins left="0.25" right="0.25" top="0.25" bottom="0.25" header="0.05" footer="0.05"/>
  <pageSetup paperSize="9" orientation="portrait" blackAndWhite="1" r:id="rId2"/>
  <ignoredErrors>
    <ignoredError sqref="D124" unlockedFormula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نقشه های شتاب طیفی</vt:lpstr>
      <vt:lpstr>2راهنما</vt:lpstr>
      <vt:lpstr>(2800-V4)-۲ضریب زلزله</vt:lpstr>
      <vt:lpstr>(2800-V5)-۲ضریب زلزله </vt:lpstr>
      <vt:lpstr>'(2800-V4)-۲ضریب زلزله'!Print_Area</vt:lpstr>
      <vt:lpstr>'(2800-V5)-۲ضریب زلزله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Mahdi</dc:creator>
  <cp:lastModifiedBy>mahdi sharifidoust</cp:lastModifiedBy>
  <cp:lastPrinted>2025-03-31T09:01:05Z</cp:lastPrinted>
  <dcterms:created xsi:type="dcterms:W3CDTF">2015-02-14T20:03:48Z</dcterms:created>
  <dcterms:modified xsi:type="dcterms:W3CDTF">2025-03-31T09:13:06Z</dcterms:modified>
</cp:coreProperties>
</file>